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defaultThemeVersion="166925"/>
  <xr:revisionPtr revIDLastSave="60" documentId="8_{DF5AF769-1864-40DD-AC62-DC3BD14E39C6}" xr6:coauthVersionLast="47" xr6:coauthVersionMax="47" xr10:uidLastSave="{39DA7ACD-F686-4759-A3A0-640D39E8B027}"/>
  <bookViews>
    <workbookView xWindow="28680" yWindow="270" windowWidth="25440" windowHeight="15390" tabRatio="738" activeTab="8" xr2:uid="{087A1B5B-7B97-4327-AC94-7D0ECF997B43}"/>
  </bookViews>
  <sheets>
    <sheet name="Introduction" sheetId="5" r:id="rId1"/>
    <sheet name="Sommaire" sheetId="8" r:id="rId2"/>
    <sheet name="Graphiques " sheetId="9" r:id="rId3"/>
    <sheet name=" Scope 1" sheetId="1" r:id="rId4"/>
    <sheet name="Scope 2" sheetId="6" r:id="rId5"/>
    <sheet name="Scope 3" sheetId="7" r:id="rId6"/>
    <sheet name="PRG" sheetId="3" r:id="rId7"/>
    <sheet name="FE" sheetId="2" r:id="rId8"/>
    <sheet name="Estimations_collectivité" sheetId="10" r:id="rId9"/>
    <sheet name="Données" sheetId="4" r:id="rId10"/>
  </sheets>
  <definedNames>
    <definedName name="_xlnm.Print_Area" localSheetId="7">FE!$A$1:$G$91</definedName>
    <definedName name="_xlnm.Print_Area" localSheetId="0">Introduction!$A$1:$H$35</definedName>
    <definedName name="_xlnm.Print_Area" localSheetId="1">Sommaire!$A$1:$G$82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3" i="4" l="1"/>
  <c r="P166" i="4"/>
  <c r="D264" i="10"/>
  <c r="A269" i="10"/>
  <c r="D259" i="10"/>
  <c r="D36" i="10"/>
  <c r="D35" i="10"/>
  <c r="D34" i="10"/>
  <c r="D32" i="10"/>
  <c r="O266" i="4" l="1"/>
  <c r="O272" i="4"/>
  <c r="C5" i="7" s="1"/>
  <c r="O271" i="4"/>
  <c r="K5" i="7" s="1"/>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85"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24" i="7"/>
  <c r="K9" i="7"/>
  <c r="K20" i="7"/>
  <c r="K17" i="7"/>
  <c r="K18" i="7" s="1"/>
  <c r="K16" i="7"/>
  <c r="K8" i="7"/>
  <c r="K4" i="7"/>
  <c r="D6" i="7" l="1"/>
  <c r="F6" i="7" s="1"/>
  <c r="K6" i="7"/>
  <c r="C6" i="7"/>
  <c r="C7" i="7" s="1"/>
  <c r="C8" i="7" s="1"/>
  <c r="D5" i="7"/>
  <c r="F5" i="7" s="1"/>
  <c r="P152" i="4"/>
  <c r="A26" i="9"/>
  <c r="D7" i="7" l="1"/>
  <c r="D8" i="7" s="1"/>
  <c r="F7" i="7"/>
  <c r="F8" i="7" s="1"/>
  <c r="E504" i="10"/>
  <c r="B514" i="10" s="1"/>
  <c r="E503" i="10"/>
  <c r="B511" i="10" s="1"/>
  <c r="E502" i="10"/>
  <c r="B507" i="10" s="1"/>
  <c r="E481" i="10"/>
  <c r="E454" i="10"/>
  <c r="E453" i="10"/>
  <c r="E452" i="10"/>
  <c r="D69" i="8" l="1"/>
  <c r="E7" i="7"/>
  <c r="E8" i="7" s="1"/>
  <c r="G69" i="8" l="1"/>
  <c r="D333" i="10" l="1"/>
  <c r="D334" i="10" s="1"/>
  <c r="D329" i="10"/>
  <c r="D321" i="10"/>
  <c r="D320" i="10"/>
  <c r="D324" i="10" l="1"/>
  <c r="D332" i="10"/>
  <c r="D330" i="10"/>
  <c r="D322" i="10"/>
  <c r="F25" i="8" l="1"/>
  <c r="F26" i="8"/>
  <c r="G311" i="1"/>
  <c r="G301" i="1"/>
  <c r="P214" i="4"/>
  <c r="C312" i="1" s="1"/>
  <c r="P212" i="4"/>
  <c r="C310" i="1" s="1"/>
  <c r="P211" i="4"/>
  <c r="C309" i="1" s="1"/>
  <c r="P210" i="4"/>
  <c r="C308" i="1" s="1"/>
  <c r="P209" i="4"/>
  <c r="C307" i="1" s="1"/>
  <c r="P207" i="4"/>
  <c r="C305" i="1" s="1"/>
  <c r="P206" i="4"/>
  <c r="C304" i="1" s="1"/>
  <c r="D304" i="1" s="1"/>
  <c r="G296" i="1"/>
  <c r="P204" i="4"/>
  <c r="C302" i="1" s="1"/>
  <c r="P187" i="4"/>
  <c r="C282" i="1" s="1"/>
  <c r="F22" i="8"/>
  <c r="F23" i="8"/>
  <c r="P190" i="4"/>
  <c r="C285" i="1" s="1"/>
  <c r="P189" i="4"/>
  <c r="C284" i="1" s="1"/>
  <c r="P202" i="4"/>
  <c r="C299" i="1" s="1"/>
  <c r="P200" i="4"/>
  <c r="C297" i="1" s="1"/>
  <c r="G291" i="1"/>
  <c r="G286" i="1"/>
  <c r="P196" i="4"/>
  <c r="C292" i="1" s="1"/>
  <c r="F141" i="10"/>
  <c r="F140" i="10"/>
  <c r="F139" i="10"/>
  <c r="F138" i="10"/>
  <c r="D114" i="10"/>
  <c r="D113" i="10"/>
  <c r="D112" i="10"/>
  <c r="D111" i="10"/>
  <c r="D109" i="10"/>
  <c r="E482" i="10"/>
  <c r="E483" i="10"/>
  <c r="B469" i="10"/>
  <c r="B467" i="10"/>
  <c r="B465" i="10"/>
  <c r="D285" i="10"/>
  <c r="C208" i="10"/>
  <c r="B211" i="10"/>
  <c r="C209" i="10" s="1"/>
  <c r="G279" i="1" s="1"/>
  <c r="D287" i="10"/>
  <c r="D283" i="10" s="1"/>
  <c r="A294" i="10" s="1"/>
  <c r="D288" i="10"/>
  <c r="D284" i="10" s="1"/>
  <c r="A299" i="10" s="1"/>
  <c r="F70" i="8"/>
  <c r="F72" i="8" s="1"/>
  <c r="H279" i="1" l="1"/>
  <c r="G17" i="8" s="1"/>
  <c r="F17" i="8"/>
  <c r="F14" i="8" s="1"/>
  <c r="E312" i="1"/>
  <c r="F312" i="1"/>
  <c r="D312" i="1"/>
  <c r="E285" i="1"/>
  <c r="D285" i="1"/>
  <c r="F285" i="1"/>
  <c r="E305" i="1"/>
  <c r="F305" i="1"/>
  <c r="D305" i="1"/>
  <c r="E282" i="1"/>
  <c r="D20" i="8" s="1"/>
  <c r="F282" i="1"/>
  <c r="E20" i="8" s="1"/>
  <c r="D282" i="1"/>
  <c r="D307" i="1"/>
  <c r="F307" i="1"/>
  <c r="E307" i="1"/>
  <c r="F284" i="1"/>
  <c r="E284" i="1"/>
  <c r="D284" i="1"/>
  <c r="C20" i="8" s="1"/>
  <c r="F297" i="1"/>
  <c r="D297" i="1"/>
  <c r="E297" i="1"/>
  <c r="F302" i="1"/>
  <c r="E302" i="1"/>
  <c r="D302" i="1"/>
  <c r="E308" i="1"/>
  <c r="F308" i="1"/>
  <c r="D308" i="1"/>
  <c r="E309" i="1"/>
  <c r="F309" i="1"/>
  <c r="D309" i="1"/>
  <c r="F292" i="1"/>
  <c r="E292" i="1"/>
  <c r="D292" i="1"/>
  <c r="E299" i="1"/>
  <c r="F299" i="1"/>
  <c r="D299" i="1"/>
  <c r="D310" i="1"/>
  <c r="E310" i="1"/>
  <c r="F310" i="1"/>
  <c r="E304" i="1"/>
  <c r="F304" i="1" s="1"/>
  <c r="F19" i="8"/>
  <c r="P205" i="4"/>
  <c r="C303" i="1" s="1"/>
  <c r="P208" i="4"/>
  <c r="C306" i="1" s="1"/>
  <c r="P198" i="4"/>
  <c r="C294" i="1" s="1"/>
  <c r="G283" i="1"/>
  <c r="C283" i="1"/>
  <c r="B485" i="10"/>
  <c r="B488" i="10"/>
  <c r="D294" i="10"/>
  <c r="P178" i="4" s="1"/>
  <c r="D293" i="10"/>
  <c r="P177" i="4" s="1"/>
  <c r="B212" i="10"/>
  <c r="D265" i="10"/>
  <c r="D260" i="10" s="1"/>
  <c r="P215" i="4"/>
  <c r="C313" i="1" s="1"/>
  <c r="E313" i="1" s="1"/>
  <c r="P203" i="4"/>
  <c r="C300" i="1" s="1"/>
  <c r="E300" i="1" s="1"/>
  <c r="P199" i="4"/>
  <c r="C295" i="1" s="1"/>
  <c r="F295" i="1" s="1"/>
  <c r="P197" i="4"/>
  <c r="C293" i="1" s="1"/>
  <c r="P195" i="4"/>
  <c r="C290" i="1" s="1"/>
  <c r="D290" i="1" s="1"/>
  <c r="P194" i="4"/>
  <c r="C289" i="1" s="1"/>
  <c r="E289" i="1" s="1"/>
  <c r="A36" i="9"/>
  <c r="C17" i="8"/>
  <c r="D271" i="10" l="1"/>
  <c r="A271" i="10" s="1"/>
  <c r="D270" i="10"/>
  <c r="A264" i="10"/>
  <c r="H309" i="1"/>
  <c r="D289" i="1"/>
  <c r="F289" i="1"/>
  <c r="H285" i="1"/>
  <c r="H297" i="1"/>
  <c r="H282" i="1"/>
  <c r="G20" i="8" s="1"/>
  <c r="E295" i="1"/>
  <c r="D313" i="1"/>
  <c r="H302" i="1"/>
  <c r="H305" i="1"/>
  <c r="F313" i="1"/>
  <c r="F283" i="1"/>
  <c r="E21" i="8" s="1"/>
  <c r="F300" i="1"/>
  <c r="D300" i="1"/>
  <c r="E290" i="1"/>
  <c r="C311" i="1"/>
  <c r="F290" i="1"/>
  <c r="D295" i="1"/>
  <c r="E293" i="1"/>
  <c r="F293" i="1"/>
  <c r="D293" i="1"/>
  <c r="D294" i="1"/>
  <c r="E294" i="1"/>
  <c r="F294" i="1"/>
  <c r="F303" i="1"/>
  <c r="D303" i="1"/>
  <c r="E303" i="1"/>
  <c r="D283" i="1"/>
  <c r="C21" i="8" s="1"/>
  <c r="E306" i="1"/>
  <c r="F306" i="1"/>
  <c r="D306" i="1"/>
  <c r="C301" i="1"/>
  <c r="D311" i="1"/>
  <c r="C26" i="8" s="1"/>
  <c r="H307" i="1"/>
  <c r="H308" i="1"/>
  <c r="H304" i="1"/>
  <c r="H310" i="1"/>
  <c r="C291" i="1"/>
  <c r="P174" i="4"/>
  <c r="F341" i="1" s="1"/>
  <c r="H299" i="1"/>
  <c r="H284" i="1"/>
  <c r="H283" i="1" s="1"/>
  <c r="E283" i="1"/>
  <c r="D21" i="8" s="1"/>
  <c r="H292" i="1"/>
  <c r="A296" i="10"/>
  <c r="F345" i="1"/>
  <c r="F346" i="1"/>
  <c r="E53" i="8" s="1"/>
  <c r="A301" i="10"/>
  <c r="O178" i="4"/>
  <c r="E346" i="1" s="1"/>
  <c r="D53" i="8" s="1"/>
  <c r="P201" i="4"/>
  <c r="C298" i="1" s="1"/>
  <c r="F298" i="1" s="1"/>
  <c r="H290" i="1" l="1"/>
  <c r="H300" i="1"/>
  <c r="H293" i="1"/>
  <c r="H313" i="1"/>
  <c r="H295" i="1"/>
  <c r="H289" i="1"/>
  <c r="G21" i="8"/>
  <c r="B20" i="9" s="1"/>
  <c r="E291" i="1"/>
  <c r="D23" i="8" s="1"/>
  <c r="E298" i="1"/>
  <c r="C296" i="1"/>
  <c r="P192" i="4"/>
  <c r="C287" i="1" s="1"/>
  <c r="F291" i="1"/>
  <c r="E23" i="8" s="1"/>
  <c r="P193" i="4"/>
  <c r="C288" i="1" s="1"/>
  <c r="D298" i="1"/>
  <c r="D296" i="1" s="1"/>
  <c r="C24" i="8" s="1"/>
  <c r="D291" i="1"/>
  <c r="C23" i="8" s="1"/>
  <c r="H303" i="1"/>
  <c r="H294" i="1"/>
  <c r="H306" i="1"/>
  <c r="D301" i="1"/>
  <c r="C25" i="8" s="1"/>
  <c r="F311" i="1"/>
  <c r="E26" i="8" s="1"/>
  <c r="E311" i="1"/>
  <c r="D26" i="8" s="1"/>
  <c r="H312" i="1"/>
  <c r="H311" i="1" s="1"/>
  <c r="G26" i="8" s="1"/>
  <c r="B25" i="9" s="1"/>
  <c r="E301" i="1"/>
  <c r="D25" i="8" s="1"/>
  <c r="B19" i="9"/>
  <c r="E296" i="1"/>
  <c r="D24" i="8" s="1"/>
  <c r="H346" i="1"/>
  <c r="G53" i="8" s="1"/>
  <c r="A266" i="10"/>
  <c r="P157" i="4"/>
  <c r="C318" i="1" s="1"/>
  <c r="P158" i="4"/>
  <c r="C319" i="1" s="1"/>
  <c r="P156" i="4"/>
  <c r="C317" i="1" s="1"/>
  <c r="L27" i="1"/>
  <c r="D17" i="8"/>
  <c r="E17" i="8"/>
  <c r="P117" i="4"/>
  <c r="C331" i="1"/>
  <c r="D331" i="1" s="1"/>
  <c r="C47" i="8" s="1"/>
  <c r="C326" i="1"/>
  <c r="E326" i="1" s="1"/>
  <c r="D42" i="8" s="1"/>
  <c r="C68" i="8"/>
  <c r="C67" i="8" s="1"/>
  <c r="D68" i="8"/>
  <c r="D67" i="8" s="1"/>
  <c r="E56" i="8"/>
  <c r="E55" i="8"/>
  <c r="C55" i="8"/>
  <c r="C56" i="8"/>
  <c r="E52" i="8"/>
  <c r="E51" i="8" s="1"/>
  <c r="C52" i="8"/>
  <c r="O254" i="4"/>
  <c r="O255" i="4"/>
  <c r="O256" i="4"/>
  <c r="O257" i="4"/>
  <c r="O258" i="4"/>
  <c r="C78" i="6" s="1"/>
  <c r="D78" i="6" s="1"/>
  <c r="O259" i="4"/>
  <c r="O253" i="4"/>
  <c r="C68" i="6" s="1"/>
  <c r="D68" i="6" s="1"/>
  <c r="H291" i="1" l="1"/>
  <c r="G23" i="8" s="1"/>
  <c r="B22" i="9" s="1"/>
  <c r="E288" i="1"/>
  <c r="F288" i="1"/>
  <c r="D288" i="1"/>
  <c r="F287" i="1"/>
  <c r="F286" i="1" s="1"/>
  <c r="E22" i="8" s="1"/>
  <c r="D287" i="1"/>
  <c r="E287" i="1"/>
  <c r="E286" i="1" s="1"/>
  <c r="D22" i="8" s="1"/>
  <c r="D19" i="8" s="1"/>
  <c r="C286" i="1"/>
  <c r="B180" i="10"/>
  <c r="F301" i="1"/>
  <c r="E25" i="8" s="1"/>
  <c r="H301" i="1"/>
  <c r="G25" i="8" s="1"/>
  <c r="B24" i="9" s="1"/>
  <c r="H298" i="1"/>
  <c r="H296" i="1" s="1"/>
  <c r="G24" i="8" s="1"/>
  <c r="F296" i="1"/>
  <c r="E24" i="8" s="1"/>
  <c r="O262" i="4"/>
  <c r="C86" i="6" s="1"/>
  <c r="D86" i="6" s="1"/>
  <c r="O177" i="4"/>
  <c r="E345" i="1" s="1"/>
  <c r="E68" i="8"/>
  <c r="E67" i="8" s="1"/>
  <c r="E115" i="10"/>
  <c r="G68" i="8"/>
  <c r="P151" i="4"/>
  <c r="C275" i="1" s="1"/>
  <c r="E331" i="1"/>
  <c r="D47" i="8" s="1"/>
  <c r="F331" i="1"/>
  <c r="E47" i="8" s="1"/>
  <c r="D326" i="1"/>
  <c r="F326" i="1"/>
  <c r="E42" i="8" s="1"/>
  <c r="O260" i="4"/>
  <c r="C82" i="6" s="1"/>
  <c r="D82" i="6" s="1"/>
  <c r="E54" i="8"/>
  <c r="O261" i="4"/>
  <c r="C84" i="6" s="1"/>
  <c r="D84" i="6" s="1"/>
  <c r="C54" i="8"/>
  <c r="C277" i="1"/>
  <c r="B71" i="9"/>
  <c r="B73" i="9"/>
  <c r="A35" i="9"/>
  <c r="A28" i="9"/>
  <c r="A27" i="9"/>
  <c r="B8" i="9"/>
  <c r="B16" i="9"/>
  <c r="O268" i="4"/>
  <c r="C97" i="6" s="1"/>
  <c r="O265" i="4"/>
  <c r="O250" i="4"/>
  <c r="O220" i="4"/>
  <c r="O221" i="4"/>
  <c r="C11" i="6" s="1"/>
  <c r="D11" i="6" s="1"/>
  <c r="O222" i="4"/>
  <c r="C13" i="6" s="1"/>
  <c r="D13" i="6" s="1"/>
  <c r="O223" i="4"/>
  <c r="C15" i="6" s="1"/>
  <c r="D15" i="6" s="1"/>
  <c r="O224" i="4"/>
  <c r="C17" i="6" s="1"/>
  <c r="D17" i="6" s="1"/>
  <c r="O225" i="4"/>
  <c r="C19" i="6" s="1"/>
  <c r="D19" i="6" s="1"/>
  <c r="O226" i="4"/>
  <c r="C21" i="6" s="1"/>
  <c r="D21" i="6" s="1"/>
  <c r="O227" i="4"/>
  <c r="C23" i="6" s="1"/>
  <c r="D23" i="6" s="1"/>
  <c r="O228" i="4"/>
  <c r="C25" i="6" s="1"/>
  <c r="D25" i="6" s="1"/>
  <c r="O229" i="4"/>
  <c r="C27" i="6" s="1"/>
  <c r="D27" i="6" s="1"/>
  <c r="O230" i="4"/>
  <c r="C29" i="6" s="1"/>
  <c r="D29" i="6" s="1"/>
  <c r="O231" i="4"/>
  <c r="C31" i="6" s="1"/>
  <c r="D31" i="6" s="1"/>
  <c r="O232" i="4"/>
  <c r="C33" i="6" s="1"/>
  <c r="D33" i="6" s="1"/>
  <c r="O233" i="4"/>
  <c r="C35" i="6" s="1"/>
  <c r="D35" i="6" s="1"/>
  <c r="O234" i="4"/>
  <c r="C37" i="6" s="1"/>
  <c r="D37" i="6" s="1"/>
  <c r="O235" i="4"/>
  <c r="C39" i="6" s="1"/>
  <c r="D39" i="6" s="1"/>
  <c r="O236" i="4"/>
  <c r="C41" i="6" s="1"/>
  <c r="D41" i="6" s="1"/>
  <c r="O237" i="4"/>
  <c r="C43" i="6" s="1"/>
  <c r="D43" i="6" s="1"/>
  <c r="O238" i="4"/>
  <c r="C45" i="6" s="1"/>
  <c r="D45" i="6" s="1"/>
  <c r="O239" i="4"/>
  <c r="C47" i="6" s="1"/>
  <c r="D47" i="6" s="1"/>
  <c r="O240" i="4"/>
  <c r="C49" i="6" s="1"/>
  <c r="D49" i="6" s="1"/>
  <c r="O241" i="4"/>
  <c r="C51" i="6" s="1"/>
  <c r="D51" i="6" s="1"/>
  <c r="O242" i="4"/>
  <c r="C53" i="6" s="1"/>
  <c r="D53" i="6" s="1"/>
  <c r="O243" i="4"/>
  <c r="C55" i="6" s="1"/>
  <c r="D55" i="6" s="1"/>
  <c r="O244" i="4"/>
  <c r="C57" i="6" s="1"/>
  <c r="D57" i="6" s="1"/>
  <c r="O245" i="4"/>
  <c r="C59" i="6" s="1"/>
  <c r="D59" i="6" s="1"/>
  <c r="O246" i="4"/>
  <c r="C61" i="6" s="1"/>
  <c r="D61" i="6" s="1"/>
  <c r="O247" i="4"/>
  <c r="C63" i="6" s="1"/>
  <c r="D63" i="6" s="1"/>
  <c r="O219" i="4"/>
  <c r="P170" i="4"/>
  <c r="P171" i="4"/>
  <c r="P172" i="4"/>
  <c r="E340" i="1" s="1"/>
  <c r="P173" i="4"/>
  <c r="E341" i="1" s="1"/>
  <c r="E318" i="1"/>
  <c r="D12" i="8" s="1"/>
  <c r="F319" i="1"/>
  <c r="E13" i="8" s="1"/>
  <c r="D317" i="1"/>
  <c r="C11" i="8" s="1"/>
  <c r="P9" i="4"/>
  <c r="C22" i="1" s="1"/>
  <c r="F22" i="1" s="1"/>
  <c r="P10" i="4"/>
  <c r="C23" i="1" s="1"/>
  <c r="F23" i="1" s="1"/>
  <c r="P11" i="4"/>
  <c r="C24" i="1" s="1"/>
  <c r="P12" i="4"/>
  <c r="C25" i="1" s="1"/>
  <c r="E25" i="1" s="1"/>
  <c r="P13" i="4"/>
  <c r="P14" i="4"/>
  <c r="C31" i="1" s="1"/>
  <c r="D31" i="1" s="1"/>
  <c r="P15" i="4"/>
  <c r="C32" i="1" s="1"/>
  <c r="E32" i="1" s="1"/>
  <c r="P16" i="4"/>
  <c r="C33" i="1" s="1"/>
  <c r="P17" i="4"/>
  <c r="C34" i="1" s="1"/>
  <c r="D34" i="1" s="1"/>
  <c r="P18" i="4"/>
  <c r="E36" i="1" s="1"/>
  <c r="K36" i="1" s="1"/>
  <c r="L36" i="1" s="1"/>
  <c r="P19" i="4"/>
  <c r="C40" i="1" s="1"/>
  <c r="E40" i="1" s="1"/>
  <c r="P20" i="4"/>
  <c r="C41" i="1" s="1"/>
  <c r="F41" i="1" s="1"/>
  <c r="P21" i="4"/>
  <c r="C42" i="1" s="1"/>
  <c r="P22" i="4"/>
  <c r="C43" i="1" s="1"/>
  <c r="F43" i="1" s="1"/>
  <c r="P23" i="4"/>
  <c r="P24" i="4"/>
  <c r="C49" i="1" s="1"/>
  <c r="F49" i="1" s="1"/>
  <c r="P25" i="4"/>
  <c r="C50" i="1" s="1"/>
  <c r="F50" i="1" s="1"/>
  <c r="P26" i="4"/>
  <c r="C51" i="1" s="1"/>
  <c r="P27" i="4"/>
  <c r="C52" i="1" s="1"/>
  <c r="F52" i="1" s="1"/>
  <c r="P28" i="4"/>
  <c r="P29" i="4"/>
  <c r="C58" i="1" s="1"/>
  <c r="E58" i="1" s="1"/>
  <c r="P30" i="4"/>
  <c r="C59" i="1" s="1"/>
  <c r="D59" i="1" s="1"/>
  <c r="P31" i="4"/>
  <c r="C60" i="1" s="1"/>
  <c r="P32" i="4"/>
  <c r="C61" i="1" s="1"/>
  <c r="E61" i="1" s="1"/>
  <c r="P33" i="4"/>
  <c r="P34" i="4"/>
  <c r="C67" i="1" s="1"/>
  <c r="E67" i="1" s="1"/>
  <c r="P35" i="4"/>
  <c r="C68" i="1" s="1"/>
  <c r="D68" i="1" s="1"/>
  <c r="P36" i="4"/>
  <c r="C69" i="1" s="1"/>
  <c r="P37" i="4"/>
  <c r="C70" i="1" s="1"/>
  <c r="D70" i="1" s="1"/>
  <c r="P38" i="4"/>
  <c r="P39" i="4"/>
  <c r="C76" i="1" s="1"/>
  <c r="E76" i="1" s="1"/>
  <c r="P40" i="4"/>
  <c r="C77" i="1" s="1"/>
  <c r="F77" i="1" s="1"/>
  <c r="P41" i="4"/>
  <c r="C78" i="1" s="1"/>
  <c r="D78" i="1" s="1"/>
  <c r="P42" i="4"/>
  <c r="C79" i="1" s="1"/>
  <c r="D79" i="1" s="1"/>
  <c r="P43" i="4"/>
  <c r="P44" i="4"/>
  <c r="C85" i="1" s="1"/>
  <c r="E85" i="1" s="1"/>
  <c r="P45" i="4"/>
  <c r="C86" i="1" s="1"/>
  <c r="F86" i="1" s="1"/>
  <c r="P46" i="4"/>
  <c r="C87" i="1" s="1"/>
  <c r="E87" i="1" s="1"/>
  <c r="P47" i="4"/>
  <c r="C88" i="1" s="1"/>
  <c r="E88" i="1" s="1"/>
  <c r="P48" i="4"/>
  <c r="P49" i="4"/>
  <c r="C94" i="1" s="1"/>
  <c r="F94" i="1" s="1"/>
  <c r="P50" i="4"/>
  <c r="C95" i="1" s="1"/>
  <c r="P51" i="4"/>
  <c r="C96" i="1" s="1"/>
  <c r="F96" i="1" s="1"/>
  <c r="P52" i="4"/>
  <c r="C97" i="1" s="1"/>
  <c r="E97" i="1" s="1"/>
  <c r="P53" i="4"/>
  <c r="P54" i="4"/>
  <c r="C103" i="1" s="1"/>
  <c r="E103" i="1" s="1"/>
  <c r="P55" i="4"/>
  <c r="C104" i="1" s="1"/>
  <c r="F104" i="1" s="1"/>
  <c r="P56" i="4"/>
  <c r="C105" i="1" s="1"/>
  <c r="E105" i="1" s="1"/>
  <c r="P57" i="4"/>
  <c r="C106" i="1" s="1"/>
  <c r="E106" i="1" s="1"/>
  <c r="P58" i="4"/>
  <c r="P59" i="4"/>
  <c r="C112" i="1" s="1"/>
  <c r="F112" i="1" s="1"/>
  <c r="P60" i="4"/>
  <c r="C113" i="1" s="1"/>
  <c r="F113" i="1" s="1"/>
  <c r="P61" i="4"/>
  <c r="C114" i="1" s="1"/>
  <c r="F114" i="1" s="1"/>
  <c r="P62" i="4"/>
  <c r="C115" i="1" s="1"/>
  <c r="F115" i="1" s="1"/>
  <c r="P63" i="4"/>
  <c r="P64" i="4"/>
  <c r="C121" i="1" s="1"/>
  <c r="E121" i="1" s="1"/>
  <c r="P65" i="4"/>
  <c r="C122" i="1" s="1"/>
  <c r="E122" i="1" s="1"/>
  <c r="P66" i="4"/>
  <c r="C123" i="1" s="1"/>
  <c r="D123" i="1" s="1"/>
  <c r="P67" i="4"/>
  <c r="C124" i="1" s="1"/>
  <c r="F124" i="1" s="1"/>
  <c r="P68" i="4"/>
  <c r="P69" i="4"/>
  <c r="C130" i="1" s="1"/>
  <c r="E130" i="1" s="1"/>
  <c r="P70" i="4"/>
  <c r="C131" i="1" s="1"/>
  <c r="F131" i="1" s="1"/>
  <c r="P71" i="4"/>
  <c r="C132" i="1" s="1"/>
  <c r="D132" i="1" s="1"/>
  <c r="P72" i="4"/>
  <c r="C133" i="1" s="1"/>
  <c r="F133" i="1" s="1"/>
  <c r="P73" i="4"/>
  <c r="P74" i="4"/>
  <c r="C139" i="1" s="1"/>
  <c r="E139" i="1" s="1"/>
  <c r="P75" i="4"/>
  <c r="C140" i="1" s="1"/>
  <c r="E140" i="1" s="1"/>
  <c r="P76" i="4"/>
  <c r="C141" i="1" s="1"/>
  <c r="E141" i="1" s="1"/>
  <c r="P77" i="4"/>
  <c r="C142" i="1" s="1"/>
  <c r="F142" i="1" s="1"/>
  <c r="P78" i="4"/>
  <c r="P79" i="4"/>
  <c r="C148" i="1" s="1"/>
  <c r="F148" i="1" s="1"/>
  <c r="P80" i="4"/>
  <c r="C149" i="1" s="1"/>
  <c r="D149" i="1" s="1"/>
  <c r="P81" i="4"/>
  <c r="C150" i="1" s="1"/>
  <c r="D150" i="1" s="1"/>
  <c r="P82" i="4"/>
  <c r="C151" i="1" s="1"/>
  <c r="D151" i="1" s="1"/>
  <c r="P83" i="4"/>
  <c r="P84" i="4"/>
  <c r="C157" i="1" s="1"/>
  <c r="E157" i="1" s="1"/>
  <c r="P85" i="4"/>
  <c r="C158" i="1" s="1"/>
  <c r="E158" i="1" s="1"/>
  <c r="P86" i="4"/>
  <c r="C159" i="1" s="1"/>
  <c r="D159" i="1" s="1"/>
  <c r="P87" i="4"/>
  <c r="C160" i="1" s="1"/>
  <c r="E160" i="1" s="1"/>
  <c r="P88" i="4"/>
  <c r="P89" i="4"/>
  <c r="C166" i="1" s="1"/>
  <c r="D166" i="1" s="1"/>
  <c r="P90" i="4"/>
  <c r="C167" i="1" s="1"/>
  <c r="E167" i="1" s="1"/>
  <c r="P91" i="4"/>
  <c r="C168" i="1" s="1"/>
  <c r="E168" i="1" s="1"/>
  <c r="P92" i="4"/>
  <c r="C169" i="1" s="1"/>
  <c r="F169" i="1" s="1"/>
  <c r="P93" i="4"/>
  <c r="P94" i="4"/>
  <c r="C175" i="1" s="1"/>
  <c r="F175" i="1" s="1"/>
  <c r="P95" i="4"/>
  <c r="C176" i="1" s="1"/>
  <c r="E176" i="1" s="1"/>
  <c r="P96" i="4"/>
  <c r="C177" i="1" s="1"/>
  <c r="E177" i="1" s="1"/>
  <c r="P97" i="4"/>
  <c r="C178" i="1" s="1"/>
  <c r="D178" i="1" s="1"/>
  <c r="P98" i="4"/>
  <c r="P99" i="4"/>
  <c r="C184" i="1" s="1"/>
  <c r="F184" i="1" s="1"/>
  <c r="P100" i="4"/>
  <c r="C185" i="1" s="1"/>
  <c r="F185" i="1" s="1"/>
  <c r="P101" i="4"/>
  <c r="C186" i="1" s="1"/>
  <c r="E186" i="1" s="1"/>
  <c r="P102" i="4"/>
  <c r="C187" i="1" s="1"/>
  <c r="E187" i="1" s="1"/>
  <c r="P103" i="4"/>
  <c r="P104" i="4"/>
  <c r="C193" i="1" s="1"/>
  <c r="F193" i="1" s="1"/>
  <c r="P105" i="4"/>
  <c r="C194" i="1" s="1"/>
  <c r="P106" i="4"/>
  <c r="C195" i="1" s="1"/>
  <c r="P107" i="4"/>
  <c r="C196" i="1" s="1"/>
  <c r="D196" i="1" s="1"/>
  <c r="P108" i="4"/>
  <c r="P109" i="4"/>
  <c r="C202" i="1" s="1"/>
  <c r="D202" i="1" s="1"/>
  <c r="P110" i="4"/>
  <c r="C203" i="1" s="1"/>
  <c r="D203" i="1" s="1"/>
  <c r="P111" i="4"/>
  <c r="C204" i="1" s="1"/>
  <c r="F204" i="1" s="1"/>
  <c r="P112" i="4"/>
  <c r="C205" i="1" s="1"/>
  <c r="E205" i="1" s="1"/>
  <c r="P113" i="4"/>
  <c r="P114" i="4"/>
  <c r="C211" i="1" s="1"/>
  <c r="F211" i="1" s="1"/>
  <c r="P115" i="4"/>
  <c r="C212" i="1" s="1"/>
  <c r="F212" i="1" s="1"/>
  <c r="P116" i="4"/>
  <c r="C213" i="1" s="1"/>
  <c r="D213" i="1" s="1"/>
  <c r="C214" i="1"/>
  <c r="F214" i="1" s="1"/>
  <c r="P118" i="4"/>
  <c r="P119" i="4"/>
  <c r="C220" i="1" s="1"/>
  <c r="E220" i="1" s="1"/>
  <c r="P120" i="4"/>
  <c r="C221" i="1" s="1"/>
  <c r="F221" i="1" s="1"/>
  <c r="P121" i="4"/>
  <c r="C222" i="1" s="1"/>
  <c r="F222" i="1" s="1"/>
  <c r="P122" i="4"/>
  <c r="C223" i="1" s="1"/>
  <c r="E223" i="1" s="1"/>
  <c r="P123" i="4"/>
  <c r="P124" i="4"/>
  <c r="C229" i="1" s="1"/>
  <c r="E229" i="1" s="1"/>
  <c r="P125" i="4"/>
  <c r="C230" i="1" s="1"/>
  <c r="F230" i="1" s="1"/>
  <c r="P126" i="4"/>
  <c r="C231" i="1" s="1"/>
  <c r="P127" i="4"/>
  <c r="C232" i="1" s="1"/>
  <c r="P128" i="4"/>
  <c r="P129" i="4"/>
  <c r="C238" i="1" s="1"/>
  <c r="E238" i="1" s="1"/>
  <c r="P130" i="4"/>
  <c r="C239" i="1" s="1"/>
  <c r="D239" i="1" s="1"/>
  <c r="P131" i="4"/>
  <c r="C240" i="1" s="1"/>
  <c r="P132" i="4"/>
  <c r="C241" i="1" s="1"/>
  <c r="P133" i="4"/>
  <c r="P134" i="4"/>
  <c r="C247" i="1" s="1"/>
  <c r="D247" i="1" s="1"/>
  <c r="P135" i="4"/>
  <c r="C248" i="1" s="1"/>
  <c r="E248" i="1" s="1"/>
  <c r="P136" i="4"/>
  <c r="C249" i="1" s="1"/>
  <c r="D249" i="1" s="1"/>
  <c r="P137" i="4"/>
  <c r="C250" i="1" s="1"/>
  <c r="D250" i="1" s="1"/>
  <c r="P138" i="4"/>
  <c r="P139" i="4"/>
  <c r="C256" i="1" s="1"/>
  <c r="F256" i="1" s="1"/>
  <c r="P140" i="4"/>
  <c r="C257" i="1" s="1"/>
  <c r="P141" i="4"/>
  <c r="C258" i="1" s="1"/>
  <c r="P142" i="4"/>
  <c r="C259" i="1" s="1"/>
  <c r="D259" i="1" s="1"/>
  <c r="P143" i="4"/>
  <c r="P144" i="4"/>
  <c r="C265" i="1" s="1"/>
  <c r="E265" i="1" s="1"/>
  <c r="P145" i="4"/>
  <c r="C266" i="1" s="1"/>
  <c r="D266" i="1" s="1"/>
  <c r="P146" i="4"/>
  <c r="C267" i="1" s="1"/>
  <c r="E267" i="1" s="1"/>
  <c r="P147" i="4"/>
  <c r="C268" i="1" s="1"/>
  <c r="P148" i="4"/>
  <c r="P5" i="4"/>
  <c r="C14" i="1" s="1"/>
  <c r="E14" i="1" s="1"/>
  <c r="P6" i="4"/>
  <c r="C15" i="1" s="1"/>
  <c r="P7" i="4"/>
  <c r="C16" i="1" s="1"/>
  <c r="D16" i="1" s="1"/>
  <c r="P8" i="4"/>
  <c r="E18" i="1" s="1"/>
  <c r="K18" i="1" s="1"/>
  <c r="L18" i="1" s="1"/>
  <c r="P4" i="4"/>
  <c r="C13" i="1" s="1"/>
  <c r="D13" i="1" s="1"/>
  <c r="C80" i="6"/>
  <c r="D80" i="6" s="1"/>
  <c r="C76" i="6"/>
  <c r="D76" i="6" s="1"/>
  <c r="C74" i="6"/>
  <c r="D74" i="6" s="1"/>
  <c r="C72" i="6"/>
  <c r="D72" i="6" s="1"/>
  <c r="C70" i="6"/>
  <c r="D70" i="6" s="1"/>
  <c r="E317" i="1"/>
  <c r="D11" i="8" s="1"/>
  <c r="D195" i="1" l="1"/>
  <c r="F195" i="1"/>
  <c r="E95" i="1"/>
  <c r="E195" i="1"/>
  <c r="D194" i="1"/>
  <c r="F194" i="1"/>
  <c r="E194" i="1"/>
  <c r="D268" i="1"/>
  <c r="F268" i="1"/>
  <c r="H268" i="1" s="1"/>
  <c r="E268" i="1"/>
  <c r="E275" i="1"/>
  <c r="F275" i="1"/>
  <c r="D275" i="1"/>
  <c r="E19" i="8"/>
  <c r="H287" i="1"/>
  <c r="D286" i="1"/>
  <c r="C22" i="8" s="1"/>
  <c r="C19" i="8" s="1"/>
  <c r="H288" i="1"/>
  <c r="E277" i="1"/>
  <c r="F277" i="1"/>
  <c r="D277" i="1"/>
  <c r="H277" i="1" s="1"/>
  <c r="B23" i="9"/>
  <c r="B182" i="10"/>
  <c r="P182" i="4" s="1"/>
  <c r="C351" i="1" s="1"/>
  <c r="B181" i="10"/>
  <c r="P181" i="4" s="1"/>
  <c r="C350" i="1" s="1"/>
  <c r="H345" i="1"/>
  <c r="D52" i="8"/>
  <c r="D51" i="8" s="1"/>
  <c r="B70" i="9"/>
  <c r="G67" i="8"/>
  <c r="E231" i="1"/>
  <c r="D231" i="1"/>
  <c r="F231" i="1"/>
  <c r="H341" i="1"/>
  <c r="G56" i="8" s="1"/>
  <c r="D56" i="8"/>
  <c r="D97" i="6"/>
  <c r="E257" i="1"/>
  <c r="F257" i="1"/>
  <c r="D257" i="1"/>
  <c r="D241" i="1"/>
  <c r="E241" i="1"/>
  <c r="F241" i="1"/>
  <c r="E258" i="1"/>
  <c r="F258" i="1"/>
  <c r="D258" i="1"/>
  <c r="E240" i="1"/>
  <c r="F240" i="1"/>
  <c r="D240" i="1"/>
  <c r="H340" i="1"/>
  <c r="G55" i="8" s="1"/>
  <c r="D55" i="8"/>
  <c r="C42" i="8"/>
  <c r="C65" i="6"/>
  <c r="C95" i="6"/>
  <c r="C81" i="1"/>
  <c r="E81" i="1"/>
  <c r="C261" i="1"/>
  <c r="E261" i="1"/>
  <c r="C225" i="1"/>
  <c r="E225" i="1"/>
  <c r="C180" i="1"/>
  <c r="E180" i="1"/>
  <c r="C72" i="1"/>
  <c r="E72" i="1"/>
  <c r="C153" i="1"/>
  <c r="E153" i="1"/>
  <c r="C117" i="1"/>
  <c r="E117" i="1"/>
  <c r="E45" i="1"/>
  <c r="C45" i="1"/>
  <c r="C144" i="1"/>
  <c r="E144" i="1"/>
  <c r="C243" i="1"/>
  <c r="E243" i="1"/>
  <c r="C207" i="1"/>
  <c r="E207" i="1"/>
  <c r="C171" i="1"/>
  <c r="E171" i="1"/>
  <c r="C135" i="1"/>
  <c r="E135" i="1"/>
  <c r="C99" i="1"/>
  <c r="E99" i="1"/>
  <c r="C63" i="1"/>
  <c r="E63" i="1"/>
  <c r="C27" i="1"/>
  <c r="E27" i="1"/>
  <c r="C189" i="1"/>
  <c r="E189" i="1"/>
  <c r="C93" i="6"/>
  <c r="D93" i="6" s="1"/>
  <c r="E37" i="10"/>
  <c r="C252" i="1"/>
  <c r="E252" i="1"/>
  <c r="C216" i="1"/>
  <c r="E216" i="1"/>
  <c r="C108" i="1"/>
  <c r="E108" i="1"/>
  <c r="C270" i="1"/>
  <c r="E270" i="1"/>
  <c r="C234" i="1"/>
  <c r="E234" i="1"/>
  <c r="C198" i="1"/>
  <c r="E198" i="1"/>
  <c r="C162" i="1"/>
  <c r="E162" i="1"/>
  <c r="C126" i="1"/>
  <c r="E126" i="1"/>
  <c r="C90" i="1"/>
  <c r="E90" i="1"/>
  <c r="E54" i="1"/>
  <c r="C54" i="1"/>
  <c r="D42" i="1"/>
  <c r="E42" i="1"/>
  <c r="F42" i="1"/>
  <c r="F69" i="1"/>
  <c r="D69" i="1"/>
  <c r="E69" i="1"/>
  <c r="F33" i="1"/>
  <c r="D33" i="1"/>
  <c r="E33" i="1"/>
  <c r="E232" i="1"/>
  <c r="D232" i="1"/>
  <c r="E60" i="1"/>
  <c r="F60" i="1"/>
  <c r="D60" i="1"/>
  <c r="E24" i="1"/>
  <c r="F24" i="1"/>
  <c r="D24" i="1"/>
  <c r="D15" i="1"/>
  <c r="E15" i="1"/>
  <c r="F15" i="1"/>
  <c r="D51" i="1"/>
  <c r="E51" i="1"/>
  <c r="F51" i="1"/>
  <c r="H326" i="1"/>
  <c r="G42" i="8" s="1"/>
  <c r="C96" i="6"/>
  <c r="H331" i="1"/>
  <c r="G47" i="8" s="1"/>
  <c r="F318" i="1"/>
  <c r="E12" i="8" s="1"/>
  <c r="C66" i="6"/>
  <c r="F317" i="1"/>
  <c r="E11" i="8" s="1"/>
  <c r="D319" i="1"/>
  <c r="C13" i="8" s="1"/>
  <c r="D318" i="1"/>
  <c r="C12" i="8" s="1"/>
  <c r="E319" i="1"/>
  <c r="D13" i="8" s="1"/>
  <c r="D10" i="8" s="1"/>
  <c r="E132" i="1"/>
  <c r="E214" i="1"/>
  <c r="D267" i="1"/>
  <c r="E43" i="1"/>
  <c r="F250" i="1"/>
  <c r="F178" i="1"/>
  <c r="F122" i="1"/>
  <c r="E204" i="1"/>
  <c r="F85" i="1"/>
  <c r="F158" i="1"/>
  <c r="E230" i="1"/>
  <c r="E149" i="1"/>
  <c r="E256" i="1"/>
  <c r="D176" i="1"/>
  <c r="E23" i="1"/>
  <c r="E133" i="1"/>
  <c r="F168" i="1"/>
  <c r="E185" i="1"/>
  <c r="E221" i="1"/>
  <c r="F239" i="1"/>
  <c r="F259" i="1"/>
  <c r="F34" i="1"/>
  <c r="D142" i="1"/>
  <c r="D169" i="1"/>
  <c r="D229" i="1"/>
  <c r="F266" i="1"/>
  <c r="F14" i="1"/>
  <c r="D76" i="1"/>
  <c r="E123" i="1"/>
  <c r="D221" i="1"/>
  <c r="F267" i="1"/>
  <c r="F106" i="1"/>
  <c r="F70" i="1"/>
  <c r="D133" i="1"/>
  <c r="F149" i="1"/>
  <c r="E169" i="1"/>
  <c r="D185" i="1"/>
  <c r="F205" i="1"/>
  <c r="D86" i="1"/>
  <c r="F123" i="1"/>
  <c r="F159" i="1"/>
  <c r="D184" i="1"/>
  <c r="D220" i="1"/>
  <c r="C6" i="1"/>
  <c r="E49" i="1"/>
  <c r="E115" i="1"/>
  <c r="F132" i="1"/>
  <c r="E142" i="1"/>
  <c r="F157" i="1"/>
  <c r="E178" i="1"/>
  <c r="D193" i="1"/>
  <c r="F229" i="1"/>
  <c r="E239" i="1"/>
  <c r="E250" i="1"/>
  <c r="E259" i="1"/>
  <c r="E266" i="1"/>
  <c r="E13" i="1"/>
  <c r="E59" i="1"/>
  <c r="D105" i="1"/>
  <c r="F79" i="1"/>
  <c r="D122" i="1"/>
  <c r="D158" i="1"/>
  <c r="D168" i="1"/>
  <c r="D204" i="1"/>
  <c r="D214" i="1"/>
  <c r="D230" i="1"/>
  <c r="D265" i="1"/>
  <c r="C8" i="1"/>
  <c r="D85" i="1"/>
  <c r="F105" i="1"/>
  <c r="C5" i="1"/>
  <c r="C7" i="1"/>
  <c r="F186" i="1"/>
  <c r="D22" i="1"/>
  <c r="F150" i="1"/>
  <c r="F40" i="1"/>
  <c r="F95" i="1"/>
  <c r="E159" i="1"/>
  <c r="D205" i="1"/>
  <c r="D52" i="1"/>
  <c r="E68" i="1"/>
  <c r="F97" i="1"/>
  <c r="F32" i="1"/>
  <c r="E196" i="1"/>
  <c r="E16" i="1"/>
  <c r="F58" i="1"/>
  <c r="E77" i="1"/>
  <c r="E211" i="1"/>
  <c r="E222" i="1"/>
  <c r="E31" i="1"/>
  <c r="F88" i="1"/>
  <c r="D114" i="1"/>
  <c r="D130" i="1"/>
  <c r="E166" i="1"/>
  <c r="F196" i="1"/>
  <c r="E212" i="1"/>
  <c r="F16" i="1"/>
  <c r="E22" i="1"/>
  <c r="E52" i="1"/>
  <c r="D104" i="1"/>
  <c r="E114" i="1"/>
  <c r="F78" i="1"/>
  <c r="F68" i="1"/>
  <c r="D32" i="1"/>
  <c r="D88" i="1"/>
  <c r="E104" i="1"/>
  <c r="E78" i="1"/>
  <c r="D58" i="1"/>
  <c r="D97" i="1"/>
  <c r="F176" i="1"/>
  <c r="D248" i="1"/>
  <c r="E34" i="1"/>
  <c r="D50" i="1"/>
  <c r="D112" i="1"/>
  <c r="E70" i="1"/>
  <c r="D124" i="1"/>
  <c r="F139" i="1"/>
  <c r="D148" i="1"/>
  <c r="E150" i="1"/>
  <c r="F160" i="1"/>
  <c r="E184" i="1"/>
  <c r="D186" i="1"/>
  <c r="F232" i="1"/>
  <c r="F248" i="1"/>
  <c r="F249" i="1"/>
  <c r="F203" i="1"/>
  <c r="D167" i="1"/>
  <c r="D25" i="1"/>
  <c r="D61" i="1"/>
  <c r="D87" i="1"/>
  <c r="F103" i="1"/>
  <c r="D113" i="1"/>
  <c r="F31" i="1"/>
  <c r="E113" i="1"/>
  <c r="D96" i="1"/>
  <c r="F213" i="1"/>
  <c r="E249" i="1"/>
  <c r="F177" i="1"/>
  <c r="D14" i="1"/>
  <c r="F25" i="1"/>
  <c r="D40" i="1"/>
  <c r="E41" i="1"/>
  <c r="E50" i="1"/>
  <c r="F61" i="1"/>
  <c r="E86" i="1"/>
  <c r="F87" i="1"/>
  <c r="D103" i="1"/>
  <c r="D106" i="1"/>
  <c r="E112" i="1"/>
  <c r="F76" i="1"/>
  <c r="F67" i="1"/>
  <c r="D95" i="1"/>
  <c r="E96" i="1"/>
  <c r="E124" i="1"/>
  <c r="F130" i="1"/>
  <c r="F140" i="1"/>
  <c r="E151" i="1"/>
  <c r="D187" i="1"/>
  <c r="F202" i="1"/>
  <c r="D212" i="1"/>
  <c r="E213" i="1"/>
  <c r="D222" i="1"/>
  <c r="F223" i="1"/>
  <c r="F247" i="1"/>
  <c r="D41" i="1"/>
  <c r="D77" i="1"/>
  <c r="F166" i="1"/>
  <c r="E203" i="1"/>
  <c r="D223" i="1"/>
  <c r="F141" i="1"/>
  <c r="E175" i="1"/>
  <c r="F187" i="1"/>
  <c r="D238" i="1"/>
  <c r="E247" i="1"/>
  <c r="F265" i="1"/>
  <c r="D256" i="1"/>
  <c r="F238" i="1"/>
  <c r="E202" i="1"/>
  <c r="D160" i="1"/>
  <c r="D140" i="1"/>
  <c r="F121" i="1"/>
  <c r="F220" i="1"/>
  <c r="D211" i="1"/>
  <c r="E193" i="1"/>
  <c r="D23" i="1"/>
  <c r="D49" i="1"/>
  <c r="F59" i="1"/>
  <c r="D115" i="1"/>
  <c r="E79" i="1"/>
  <c r="D131" i="1"/>
  <c r="F151" i="1"/>
  <c r="F167" i="1"/>
  <c r="D121" i="1"/>
  <c r="D177" i="1"/>
  <c r="D94" i="1"/>
  <c r="E131" i="1"/>
  <c r="D141" i="1"/>
  <c r="D157" i="1"/>
  <c r="D43" i="1"/>
  <c r="E94" i="1"/>
  <c r="D175" i="1"/>
  <c r="E148" i="1"/>
  <c r="D139" i="1"/>
  <c r="D67" i="1"/>
  <c r="F13" i="1"/>
  <c r="G52" i="8" l="1"/>
  <c r="G51" i="8" s="1"/>
  <c r="B62" i="9" s="1"/>
  <c r="C15" i="8"/>
  <c r="C14" i="8" s="1"/>
  <c r="H275" i="1"/>
  <c r="G15" i="8" s="1"/>
  <c r="H286" i="1"/>
  <c r="G22" i="8" s="1"/>
  <c r="G19" i="8" s="1"/>
  <c r="B18" i="9" s="1"/>
  <c r="E350" i="1"/>
  <c r="F350" i="1"/>
  <c r="F351" i="1"/>
  <c r="E351" i="1"/>
  <c r="E10" i="8"/>
  <c r="D16" i="8"/>
  <c r="C10" i="8"/>
  <c r="D54" i="8"/>
  <c r="D350" i="1"/>
  <c r="D351" i="1"/>
  <c r="D95" i="6"/>
  <c r="D91" i="6" s="1"/>
  <c r="C64" i="6"/>
  <c r="D65" i="6"/>
  <c r="G54" i="8"/>
  <c r="B63" i="9" s="1"/>
  <c r="B69" i="9"/>
  <c r="C16" i="8"/>
  <c r="C91" i="6"/>
  <c r="D96" i="6"/>
  <c r="K90" i="1"/>
  <c r="L90" i="1" s="1"/>
  <c r="K162" i="1"/>
  <c r="L162" i="1" s="1"/>
  <c r="K234" i="1"/>
  <c r="L234" i="1" s="1"/>
  <c r="K108" i="1"/>
  <c r="L108" i="1" s="1"/>
  <c r="K252" i="1"/>
  <c r="L252" i="1" s="1"/>
  <c r="K189" i="1"/>
  <c r="L189" i="1" s="1"/>
  <c r="K63" i="1"/>
  <c r="L63" i="1" s="1"/>
  <c r="K135" i="1"/>
  <c r="L135" i="1" s="1"/>
  <c r="K207" i="1"/>
  <c r="L207" i="1" s="1"/>
  <c r="K144" i="1"/>
  <c r="L144" i="1" s="1"/>
  <c r="K117" i="1"/>
  <c r="L117" i="1" s="1"/>
  <c r="C9" i="1"/>
  <c r="C4" i="1" s="1"/>
  <c r="K72" i="1"/>
  <c r="L72" i="1" s="1"/>
  <c r="K126" i="1"/>
  <c r="L126" i="1" s="1"/>
  <c r="K198" i="1"/>
  <c r="L198" i="1" s="1"/>
  <c r="K216" i="1"/>
  <c r="L216" i="1" s="1"/>
  <c r="K27" i="1"/>
  <c r="K99" i="1"/>
  <c r="L99" i="1" s="1"/>
  <c r="K171" i="1"/>
  <c r="L171" i="1" s="1"/>
  <c r="K270" i="1"/>
  <c r="L270" i="1" s="1"/>
  <c r="K225" i="1"/>
  <c r="L225" i="1" s="1"/>
  <c r="H175" i="1"/>
  <c r="K54" i="1"/>
  <c r="L54" i="1" s="1"/>
  <c r="K45" i="1"/>
  <c r="L45" i="1" s="1"/>
  <c r="K243" i="1"/>
  <c r="L243" i="1" s="1"/>
  <c r="K153" i="1"/>
  <c r="L153" i="1" s="1"/>
  <c r="K180" i="1"/>
  <c r="L180" i="1" s="1"/>
  <c r="K261" i="1"/>
  <c r="L261" i="1" s="1"/>
  <c r="K81" i="1"/>
  <c r="L81" i="1" s="1"/>
  <c r="H185" i="1"/>
  <c r="C125" i="10"/>
  <c r="D125" i="10" s="1"/>
  <c r="P169" i="4" s="1"/>
  <c r="C334" i="1" s="1"/>
  <c r="C124" i="10"/>
  <c r="D124" i="10" s="1"/>
  <c r="P168" i="4" s="1"/>
  <c r="C333" i="1" s="1"/>
  <c r="D123" i="10"/>
  <c r="P167" i="4" s="1"/>
  <c r="C332" i="1" s="1"/>
  <c r="C123" i="10"/>
  <c r="H223" i="1"/>
  <c r="H42" i="1"/>
  <c r="H239" i="1"/>
  <c r="H52" i="1"/>
  <c r="H196" i="1"/>
  <c r="H230" i="1"/>
  <c r="H122" i="1"/>
  <c r="H177" i="1"/>
  <c r="H203" i="1"/>
  <c r="H167" i="1"/>
  <c r="H79" i="1"/>
  <c r="H265" i="1"/>
  <c r="E16" i="8"/>
  <c r="H317" i="1"/>
  <c r="G11" i="8" s="1"/>
  <c r="H318" i="1"/>
  <c r="G12" i="8" s="1"/>
  <c r="B11" i="9" s="1"/>
  <c r="H319" i="1"/>
  <c r="G13" i="8" s="1"/>
  <c r="B12" i="9" s="1"/>
  <c r="H159" i="1"/>
  <c r="H24" i="1"/>
  <c r="H247" i="1"/>
  <c r="H229" i="1"/>
  <c r="H130" i="1"/>
  <c r="H58" i="1"/>
  <c r="H22" i="1"/>
  <c r="H132" i="1"/>
  <c r="H214" i="1"/>
  <c r="H178" i="1"/>
  <c r="H158" i="1"/>
  <c r="H250" i="1"/>
  <c r="H43" i="1"/>
  <c r="H204" i="1"/>
  <c r="H267" i="1"/>
  <c r="H231" i="1"/>
  <c r="H256" i="1"/>
  <c r="H85" i="1"/>
  <c r="H205" i="1"/>
  <c r="H149" i="1"/>
  <c r="H221" i="1"/>
  <c r="H23" i="1"/>
  <c r="H86" i="1"/>
  <c r="H176" i="1"/>
  <c r="H123" i="1"/>
  <c r="H133" i="1"/>
  <c r="H169" i="1"/>
  <c r="H69" i="1"/>
  <c r="H76" i="1"/>
  <c r="H259" i="1"/>
  <c r="H240" i="1"/>
  <c r="H34" i="1"/>
  <c r="H168" i="1"/>
  <c r="H70" i="1"/>
  <c r="H194" i="1"/>
  <c r="H266" i="1"/>
  <c r="H142" i="1"/>
  <c r="H195" i="1"/>
  <c r="H106" i="1"/>
  <c r="H49" i="1"/>
  <c r="H220" i="1"/>
  <c r="H186" i="1"/>
  <c r="H105" i="1"/>
  <c r="H184" i="1"/>
  <c r="H115" i="1"/>
  <c r="H59" i="1"/>
  <c r="H60" i="1"/>
  <c r="E6" i="1"/>
  <c r="D6" i="8" s="1"/>
  <c r="H193" i="1"/>
  <c r="D5" i="1"/>
  <c r="C5" i="8" s="1"/>
  <c r="F6" i="1"/>
  <c r="E6" i="8" s="1"/>
  <c r="H50" i="1"/>
  <c r="D8" i="1"/>
  <c r="C8" i="8" s="1"/>
  <c r="H32" i="1"/>
  <c r="D7" i="1"/>
  <c r="C7" i="8" s="1"/>
  <c r="H33" i="1"/>
  <c r="H14" i="1"/>
  <c r="D6" i="1"/>
  <c r="C6" i="8" s="1"/>
  <c r="H13" i="1"/>
  <c r="F5" i="1"/>
  <c r="E5" i="8" s="1"/>
  <c r="H16" i="1"/>
  <c r="E8" i="1"/>
  <c r="D8" i="8" s="1"/>
  <c r="E5" i="1"/>
  <c r="D5" i="8" s="1"/>
  <c r="F7" i="1"/>
  <c r="E7" i="8" s="1"/>
  <c r="H157" i="1"/>
  <c r="E7" i="1"/>
  <c r="D7" i="8" s="1"/>
  <c r="F8" i="1"/>
  <c r="E8" i="8" s="1"/>
  <c r="H222" i="1"/>
  <c r="H150" i="1"/>
  <c r="H114" i="1"/>
  <c r="H238" i="1"/>
  <c r="H95" i="1"/>
  <c r="H40" i="1"/>
  <c r="H61" i="1"/>
  <c r="H248" i="1"/>
  <c r="H97" i="1"/>
  <c r="H88" i="1"/>
  <c r="H166" i="1"/>
  <c r="H31" i="1"/>
  <c r="H94" i="1"/>
  <c r="H202" i="1"/>
  <c r="H77" i="1"/>
  <c r="H212" i="1"/>
  <c r="H151" i="1"/>
  <c r="H41" i="1"/>
  <c r="H15" i="1"/>
  <c r="H51" i="1"/>
  <c r="H68" i="1"/>
  <c r="H211" i="1"/>
  <c r="H140" i="1"/>
  <c r="H160" i="1"/>
  <c r="H257" i="1"/>
  <c r="H213" i="1"/>
  <c r="H124" i="1"/>
  <c r="H113" i="1"/>
  <c r="H103" i="1"/>
  <c r="H25" i="1"/>
  <c r="H232" i="1"/>
  <c r="H78" i="1"/>
  <c r="H104" i="1"/>
  <c r="H139" i="1"/>
  <c r="H112" i="1"/>
  <c r="H249" i="1"/>
  <c r="H148" i="1"/>
  <c r="H187" i="1"/>
  <c r="H96" i="1"/>
  <c r="H131" i="1"/>
  <c r="H141" i="1"/>
  <c r="H121" i="1"/>
  <c r="H241" i="1"/>
  <c r="H87" i="1"/>
  <c r="H258" i="1"/>
  <c r="H67" i="1"/>
  <c r="B21" i="9" l="1"/>
  <c r="B29" i="9" s="1"/>
  <c r="E59" i="8"/>
  <c r="H351" i="1"/>
  <c r="G64" i="8"/>
  <c r="G63" i="8" s="1"/>
  <c r="B67" i="9" s="1"/>
  <c r="D58" i="8"/>
  <c r="D59" i="8"/>
  <c r="C59" i="8"/>
  <c r="C58" i="8"/>
  <c r="C4" i="8"/>
  <c r="G66" i="8"/>
  <c r="G65" i="8" s="1"/>
  <c r="B68" i="9" s="1"/>
  <c r="G62" i="8"/>
  <c r="G61" i="8" s="1"/>
  <c r="D15" i="8"/>
  <c r="D14" i="8" s="1"/>
  <c r="G59" i="8"/>
  <c r="E45" i="10"/>
  <c r="P164" i="4" s="1"/>
  <c r="C328" i="1" s="1"/>
  <c r="C45" i="10"/>
  <c r="E46" i="10"/>
  <c r="P163" i="4" s="1"/>
  <c r="C327" i="1" s="1"/>
  <c r="C46" i="10"/>
  <c r="H9" i="1"/>
  <c r="D47" i="10"/>
  <c r="P165" i="4" s="1"/>
  <c r="C329" i="1" s="1"/>
  <c r="C47" i="10"/>
  <c r="F332" i="1"/>
  <c r="E48" i="8" s="1"/>
  <c r="E332" i="1"/>
  <c r="D48" i="8" s="1"/>
  <c r="D332" i="1"/>
  <c r="C48" i="8" s="1"/>
  <c r="D334" i="1"/>
  <c r="C50" i="8" s="1"/>
  <c r="E334" i="1"/>
  <c r="D50" i="8" s="1"/>
  <c r="F334" i="1"/>
  <c r="E50" i="8" s="1"/>
  <c r="E58" i="8"/>
  <c r="F333" i="1"/>
  <c r="E49" i="8" s="1"/>
  <c r="D333" i="1"/>
  <c r="C49" i="8" s="1"/>
  <c r="E333" i="1"/>
  <c r="D49" i="8" s="1"/>
  <c r="E4" i="8"/>
  <c r="F4" i="1"/>
  <c r="D4" i="8"/>
  <c r="E4" i="1"/>
  <c r="D4" i="1"/>
  <c r="G16" i="8"/>
  <c r="B15" i="9" s="1"/>
  <c r="D66" i="6"/>
  <c r="G33" i="8" s="1"/>
  <c r="G32" i="8" s="1"/>
  <c r="B33" i="9" s="1"/>
  <c r="G10" i="8"/>
  <c r="B10" i="9"/>
  <c r="D64" i="6"/>
  <c r="G31" i="8"/>
  <c r="G30" i="8" s="1"/>
  <c r="B32" i="9" s="1"/>
  <c r="H5" i="1"/>
  <c r="H7" i="1"/>
  <c r="G7" i="8" s="1"/>
  <c r="B5" i="9" s="1"/>
  <c r="H8" i="1"/>
  <c r="G8" i="8" s="1"/>
  <c r="B7" i="9" s="1"/>
  <c r="H6" i="1"/>
  <c r="G6" i="8" s="1"/>
  <c r="B6" i="9" s="1"/>
  <c r="C57" i="8" l="1"/>
  <c r="G14" i="8"/>
  <c r="D329" i="1"/>
  <c r="C71" i="8" s="1"/>
  <c r="F329" i="1"/>
  <c r="E329" i="1"/>
  <c r="D3" i="8"/>
  <c r="D34" i="8" s="1"/>
  <c r="C3" i="8"/>
  <c r="C34" i="8" s="1"/>
  <c r="D57" i="8"/>
  <c r="B66" i="9"/>
  <c r="G60" i="8"/>
  <c r="D98" i="6"/>
  <c r="E15" i="8"/>
  <c r="E14" i="8" s="1"/>
  <c r="E3" i="8" s="1"/>
  <c r="H4" i="1"/>
  <c r="D327" i="1"/>
  <c r="E327" i="1"/>
  <c r="D45" i="8" s="1"/>
  <c r="F327" i="1"/>
  <c r="E45" i="8" s="1"/>
  <c r="D328" i="1"/>
  <c r="C43" i="8" s="1"/>
  <c r="F328" i="1"/>
  <c r="E43" i="8" s="1"/>
  <c r="E328" i="1"/>
  <c r="D43" i="8" s="1"/>
  <c r="H332" i="1"/>
  <c r="G48" i="8" s="1"/>
  <c r="E57" i="8"/>
  <c r="H334" i="1"/>
  <c r="G50" i="8" s="1"/>
  <c r="H350" i="1"/>
  <c r="G58" i="8" s="1"/>
  <c r="G57" i="8" s="1"/>
  <c r="B64" i="9" s="1"/>
  <c r="D330" i="1"/>
  <c r="H333" i="1"/>
  <c r="G49" i="8" s="1"/>
  <c r="D46" i="8"/>
  <c r="E330" i="1"/>
  <c r="E46" i="8"/>
  <c r="F330" i="1"/>
  <c r="G5" i="8"/>
  <c r="B4" i="9" s="1"/>
  <c r="B9" i="9"/>
  <c r="B27" i="9" s="1"/>
  <c r="C7" i="6"/>
  <c r="D7" i="6" s="1"/>
  <c r="D5" i="6" s="1"/>
  <c r="G29" i="8" s="1"/>
  <c r="H329" i="1" l="1"/>
  <c r="B14" i="9"/>
  <c r="B65" i="9"/>
  <c r="D44" i="8"/>
  <c r="D41" i="8" s="1"/>
  <c r="D40" i="8" s="1"/>
  <c r="D70" i="8" s="1"/>
  <c r="D72" i="8" s="1"/>
  <c r="C45" i="8"/>
  <c r="C41" i="8" s="1"/>
  <c r="D325" i="1"/>
  <c r="E34" i="8"/>
  <c r="H328" i="1"/>
  <c r="G43" i="8" s="1"/>
  <c r="E325" i="1"/>
  <c r="H327" i="1"/>
  <c r="G45" i="8" s="1"/>
  <c r="G46" i="8"/>
  <c r="B61" i="9" s="1"/>
  <c r="C46" i="8"/>
  <c r="H330" i="1"/>
  <c r="G4" i="8"/>
  <c r="B3" i="9" s="1"/>
  <c r="C5" i="6"/>
  <c r="G3" i="8" l="1"/>
  <c r="B13" i="9"/>
  <c r="B2" i="9" s="1"/>
  <c r="B26" i="9"/>
  <c r="C40" i="8"/>
  <c r="C70" i="8" s="1"/>
  <c r="C72" i="8" s="1"/>
  <c r="E44" i="8"/>
  <c r="E41" i="8" s="1"/>
  <c r="E40" i="8" s="1"/>
  <c r="E70" i="8" s="1"/>
  <c r="E72" i="8" s="1"/>
  <c r="G44" i="8"/>
  <c r="G41" i="8" s="1"/>
  <c r="F325" i="1"/>
  <c r="H325" i="1" s="1"/>
  <c r="B28" i="9" l="1"/>
  <c r="B35" i="9"/>
  <c r="B60" i="9"/>
  <c r="G40" i="8"/>
  <c r="D87" i="6"/>
  <c r="G28" i="8"/>
  <c r="B31" i="9" l="1"/>
  <c r="B36" i="9" s="1"/>
  <c r="G27" i="8"/>
  <c r="G34" i="8" s="1"/>
  <c r="B59" i="9"/>
  <c r="G70" i="8"/>
  <c r="G72" i="8" l="1"/>
  <c r="B72" i="9"/>
  <c r="B30" i="9"/>
  <c r="B34" i="9"/>
</calcChain>
</file>

<file path=xl/sharedStrings.xml><?xml version="1.0" encoding="utf-8"?>
<sst xmlns="http://schemas.openxmlformats.org/spreadsheetml/2006/main" count="2823" uniqueCount="912">
  <si>
    <r>
      <t xml:space="preserve">Finalement, dans l'onglet </t>
    </r>
    <r>
      <rPr>
        <i/>
        <sz val="11"/>
        <color theme="1"/>
        <rFont val="Calibri"/>
        <family val="2"/>
        <scheme val="minor"/>
      </rPr>
      <t>Estimations _collectivité</t>
    </r>
    <r>
      <rPr>
        <sz val="11"/>
        <color theme="1"/>
        <rFont val="Calibri"/>
        <family val="2"/>
        <scheme val="minor"/>
      </rPr>
      <t xml:space="preserve"> vous trouverez les calculs permettant d'estminer les données issues de la collectivité. </t>
    </r>
  </si>
  <si>
    <t xml:space="preserve">Sources </t>
  </si>
  <si>
    <r>
      <t>tCO</t>
    </r>
    <r>
      <rPr>
        <b/>
        <vertAlign val="subscript"/>
        <sz val="11"/>
        <color theme="1"/>
        <rFont val="Calibri"/>
        <family val="2"/>
        <scheme val="minor"/>
      </rPr>
      <t>2</t>
    </r>
  </si>
  <si>
    <r>
      <t>tCH</t>
    </r>
    <r>
      <rPr>
        <b/>
        <vertAlign val="subscript"/>
        <sz val="11"/>
        <color theme="1"/>
        <rFont val="Calibri"/>
        <family val="2"/>
        <scheme val="minor"/>
      </rPr>
      <t>4</t>
    </r>
  </si>
  <si>
    <r>
      <t>tN</t>
    </r>
    <r>
      <rPr>
        <b/>
        <vertAlign val="subscript"/>
        <sz val="11"/>
        <color theme="1"/>
        <rFont val="Calibri"/>
        <family val="2"/>
        <scheme val="minor"/>
      </rPr>
      <t>2</t>
    </r>
    <r>
      <rPr>
        <b/>
        <sz val="11"/>
        <color theme="1"/>
        <rFont val="Calibri"/>
        <family val="2"/>
        <scheme val="minor"/>
      </rPr>
      <t>O</t>
    </r>
  </si>
  <si>
    <t>tHFC</t>
  </si>
  <si>
    <r>
      <t>tCO</t>
    </r>
    <r>
      <rPr>
        <b/>
        <vertAlign val="subscript"/>
        <sz val="11"/>
        <color theme="1"/>
        <rFont val="Calibri"/>
        <family val="2"/>
        <scheme val="minor"/>
      </rPr>
      <t>2</t>
    </r>
    <r>
      <rPr>
        <b/>
        <sz val="11"/>
        <color theme="1"/>
        <rFont val="Calibri"/>
        <family val="2"/>
        <scheme val="minor"/>
      </rPr>
      <t xml:space="preserve"> éq.</t>
    </r>
  </si>
  <si>
    <t>Émissions directes (champ 1)                                                                            Totaux</t>
  </si>
  <si>
    <t>N/A</t>
  </si>
  <si>
    <t>Bâtiments et autres installations                                                                      Totaux</t>
  </si>
  <si>
    <t>Gaz naturel</t>
  </si>
  <si>
    <t>Propane</t>
  </si>
  <si>
    <t>Mazout</t>
  </si>
  <si>
    <t>Diesel</t>
  </si>
  <si>
    <t>Réfrigérants</t>
  </si>
  <si>
    <t>Station d'épuration des eaux usées                                                                 Totaux</t>
  </si>
  <si>
    <t xml:space="preserve">Mazout </t>
  </si>
  <si>
    <t>Parc des véhicules municipaux                                                                         Totaux</t>
  </si>
  <si>
    <t>Essence</t>
  </si>
  <si>
    <t>sous-traitants</t>
  </si>
  <si>
    <t>Transport                                                                                                            Totaux</t>
  </si>
  <si>
    <t xml:space="preserve">Déneigement </t>
  </si>
  <si>
    <t xml:space="preserve">Entretien des routes </t>
  </si>
  <si>
    <t xml:space="preserve">Transport et cueillette des matières résiduelles </t>
  </si>
  <si>
    <t>Transport et cueillette des matières recyclables</t>
  </si>
  <si>
    <t>Transport et cueillette des matières organiques</t>
  </si>
  <si>
    <t>Transport des matières récupérées à l'écocentre</t>
  </si>
  <si>
    <t xml:space="preserve">Transport et cueillette des boues des fosses septiques </t>
  </si>
  <si>
    <t>Émissions indirectes liées à l'énergie (Champ 2)                                              Totaux</t>
  </si>
  <si>
    <t>Électricité</t>
  </si>
  <si>
    <t>Éclairage public                                                                                                 Totaux</t>
  </si>
  <si>
    <t>Total des émissions corporatives                                                                     Totaux</t>
  </si>
  <si>
    <r>
      <t>Tableau 1.2 Sommaire des émissions de GES issues des activités de la municipalité du Canton d'Orford du 1</t>
    </r>
    <r>
      <rPr>
        <b/>
        <vertAlign val="superscript"/>
        <sz val="11"/>
        <color theme="1"/>
        <rFont val="Calibri"/>
        <family val="2"/>
        <scheme val="minor"/>
      </rPr>
      <t>er</t>
    </r>
    <r>
      <rPr>
        <b/>
        <sz val="11"/>
        <color theme="1"/>
        <rFont val="Calibri"/>
        <family val="2"/>
        <scheme val="minor"/>
      </rPr>
      <t xml:space="preserve"> janvier 2022 au 31 décembre 2022 pour la collectivité</t>
    </r>
  </si>
  <si>
    <t xml:space="preserve">Émissions directes (Champ 1)                                                                           Totaux </t>
  </si>
  <si>
    <t>Résidentiel                                                                                                          Totaux</t>
  </si>
  <si>
    <t xml:space="preserve">Bois de chauffage </t>
  </si>
  <si>
    <t>Autre (propane)</t>
  </si>
  <si>
    <t>Commercial et institutionnel                                                                           Totaux</t>
  </si>
  <si>
    <t xml:space="preserve">Mazout léger  </t>
  </si>
  <si>
    <t>Mazout lourd</t>
  </si>
  <si>
    <t>Traitement des eaux usées                                                                               Totaux</t>
  </si>
  <si>
    <t>Traitement aux usines d'épuration</t>
  </si>
  <si>
    <t>Traitement par fosses septiques</t>
  </si>
  <si>
    <t>Agriculture                                                                                                         Totaux</t>
  </si>
  <si>
    <t>Fermentation entérique</t>
  </si>
  <si>
    <t>Gestion du fumier</t>
  </si>
  <si>
    <t>Transport                                                                                                           Totaux</t>
  </si>
  <si>
    <t>Véhicules légers sur route à essence</t>
  </si>
  <si>
    <t xml:space="preserve">Véhicules légers sur route au diésel </t>
  </si>
  <si>
    <t>Émissions indirectes liées à l'énergie (Champ 2)                                            Totaux</t>
  </si>
  <si>
    <t>Autres émissions indirectes (Champ 3)                                                            Totaux</t>
  </si>
  <si>
    <t>Matières résiduelles                                                                                          Totaux</t>
  </si>
  <si>
    <t>Enfouissement à l'extérieur du territoire de la ville</t>
  </si>
  <si>
    <t>Total des émissions de la collectivité</t>
  </si>
  <si>
    <t xml:space="preserve">Total des émissions biogéniques </t>
  </si>
  <si>
    <t>Total des émissions collectivité + corporative</t>
  </si>
  <si>
    <t>Émissions directes  (Champ 1)</t>
  </si>
  <si>
    <t>Bâtiments et autres installations</t>
  </si>
  <si>
    <t xml:space="preserve">Légendre figures 1 et 2:
 bâtiment C46D5E Indian rose 
Station épuration des eaux Cadet Gray  A4A9AD
Parc des véhicules municipaux 9DBF9E Cambridge bleue
Transport sous-traitants EC9A29 Gamboge
Éclairage public 1A936F Sea Green
</t>
  </si>
  <si>
    <t>Station d'épuration des eaux usées</t>
  </si>
  <si>
    <t xml:space="preserve">Bâtiments </t>
  </si>
  <si>
    <t xml:space="preserve">Parc des véhicules municipaux </t>
  </si>
  <si>
    <t>Parc des véhicules municipaux</t>
  </si>
  <si>
    <t xml:space="preserve">Transport sous-traitant </t>
  </si>
  <si>
    <t xml:space="preserve">Éclairage public </t>
  </si>
  <si>
    <t>Sous-traitants</t>
  </si>
  <si>
    <t>Transport</t>
  </si>
  <si>
    <t>Entretien des routes</t>
  </si>
  <si>
    <t>Transport et cueillette  des matières résiduelles</t>
  </si>
  <si>
    <t xml:space="preserve">Transport et cueillette  des matières recyclables </t>
  </si>
  <si>
    <t xml:space="preserve">Transport et cueillette  des matières organiques </t>
  </si>
  <si>
    <t>Transport par les sous-traitants</t>
  </si>
  <si>
    <t>Émissions indirectes liées à l'énergie (Champ 2)</t>
  </si>
  <si>
    <t>Éclairage public</t>
  </si>
  <si>
    <t>Total des émissions corporatives</t>
  </si>
  <si>
    <t xml:space="preserve"> Légendre figure 3 et 4 
Résidentiel  Cocoa Brown E06D06
Commercial et institutionnel Fairy Tale E5C3D1
Agricole Cream E8EFCA
Transport Outer Space 444A4C
Traitement des eaux usées: Powder blue 8EA8C3
</t>
  </si>
  <si>
    <t>Émissions directes (Champ 1)</t>
  </si>
  <si>
    <t>Résidentiel</t>
  </si>
  <si>
    <t>Commercial et institutionnel</t>
  </si>
  <si>
    <t>Traitement des eaux usées</t>
  </si>
  <si>
    <t>Agriculture</t>
  </si>
  <si>
    <t xml:space="preserve">Transport </t>
  </si>
  <si>
    <t>Autres émissions indirectes (Champ 3)</t>
  </si>
  <si>
    <t xml:space="preserve">Commercial et industriel </t>
  </si>
  <si>
    <t xml:space="preserve">Matières résiduelles </t>
  </si>
  <si>
    <t xml:space="preserve">Résidentiel </t>
  </si>
  <si>
    <t>Agricole</t>
  </si>
  <si>
    <t xml:space="preserve">Légende figure 5 
Déneigement : 81C3D7 Sky blue
Entretien des routes D65108 Syracuse Red orange
Transport et cueillette des matières résiduelles 99C628 Yellow green
Transport et cueillette des matières recyclables 20A39E Light sea green
Transport et cueillette des matières organiques EF5B5B Bittersweet
Transport des matières récupérées à l'écocentre A69CAC Rose quartz
Transport et cueillette des boues septiques FCB9B2 Melon 
</t>
  </si>
  <si>
    <t>Déneigement</t>
  </si>
  <si>
    <t>Entreten des routes</t>
  </si>
  <si>
    <t>Transport et cueillette des matières résiduelles</t>
  </si>
  <si>
    <t>Transport et cueillette des boues septiques</t>
  </si>
  <si>
    <t>Champ 1 - Émissions directes pour le secteur corporatif</t>
  </si>
  <si>
    <t xml:space="preserve">Bâtiments et autres installations </t>
  </si>
  <si>
    <t>Gaz naturel total</t>
  </si>
  <si>
    <t>Propane total</t>
  </si>
  <si>
    <t>Mazout  total</t>
  </si>
  <si>
    <t>Diesel total</t>
  </si>
  <si>
    <t>Nom de  la source de GES</t>
  </si>
  <si>
    <t>Volume (L ou m3)</t>
  </si>
  <si>
    <t xml:space="preserve">Masse de gaz émis </t>
  </si>
  <si>
    <r>
      <t>Conversion en t CO</t>
    </r>
    <r>
      <rPr>
        <b/>
        <vertAlign val="subscript"/>
        <sz val="11"/>
        <color theme="1"/>
        <rFont val="Calibri"/>
        <family val="2"/>
        <scheme val="minor"/>
      </rPr>
      <t>2</t>
    </r>
    <r>
      <rPr>
        <b/>
        <sz val="11"/>
        <color theme="1"/>
        <rFont val="Calibri"/>
        <family val="2"/>
        <scheme val="minor"/>
      </rPr>
      <t xml:space="preserve"> éq.</t>
    </r>
  </si>
  <si>
    <r>
      <t>g CO</t>
    </r>
    <r>
      <rPr>
        <b/>
        <vertAlign val="subscript"/>
        <sz val="11"/>
        <color theme="1"/>
        <rFont val="Calibri"/>
        <family val="2"/>
        <scheme val="minor"/>
      </rPr>
      <t>2</t>
    </r>
    <r>
      <rPr>
        <b/>
        <sz val="11"/>
        <color theme="1"/>
        <rFont val="Calibri"/>
        <family val="2"/>
        <scheme val="minor"/>
      </rPr>
      <t xml:space="preserve">
(Volume*FE)</t>
    </r>
  </si>
  <si>
    <t>g CH4
(Volume*Fe)</t>
  </si>
  <si>
    <r>
      <t>g N</t>
    </r>
    <r>
      <rPr>
        <b/>
        <vertAlign val="subscript"/>
        <sz val="11"/>
        <color theme="1"/>
        <rFont val="Calibri"/>
        <family val="2"/>
        <scheme val="minor"/>
      </rPr>
      <t>2</t>
    </r>
    <r>
      <rPr>
        <b/>
        <sz val="11"/>
        <color theme="1"/>
        <rFont val="Calibri"/>
        <family val="2"/>
        <scheme val="minor"/>
      </rPr>
      <t>O
(Volume*FE)</t>
    </r>
  </si>
  <si>
    <t>((masse CO2 * PRG CO2) + (masse CH4 * PRG CH4) + (masse N2O * PRG N2O))/1000000</t>
  </si>
  <si>
    <t>Bâtiment 1: Mairie - 2530, chemin du Parc</t>
  </si>
  <si>
    <r>
      <t>Gaz naturel (m</t>
    </r>
    <r>
      <rPr>
        <vertAlign val="superscript"/>
        <sz val="11"/>
        <color theme="1"/>
        <rFont val="Calibri"/>
        <family val="2"/>
        <scheme val="minor"/>
      </rPr>
      <t>3</t>
    </r>
    <r>
      <rPr>
        <sz val="11"/>
        <color theme="1"/>
        <rFont val="Calibri"/>
        <family val="2"/>
        <scheme val="minor"/>
      </rPr>
      <t>)</t>
    </r>
  </si>
  <si>
    <t>Propane (L)</t>
  </si>
  <si>
    <t>Mazout (L)</t>
  </si>
  <si>
    <t>Diesel (L)</t>
  </si>
  <si>
    <t>Quantité de réfrigérant ajoutée aux nouveaux équipement (kg)</t>
  </si>
  <si>
    <t xml:space="preserve">Émissions initiales </t>
  </si>
  <si>
    <t>Capacité totale de l'équipement (kg)</t>
  </si>
  <si>
    <t>Émissions de fonctionnement</t>
  </si>
  <si>
    <t xml:space="preserve">Nombre d'années d'utilisation </t>
  </si>
  <si>
    <t>Capacité des équipement non-utilisés (kg)</t>
  </si>
  <si>
    <t>Charge initiale restante</t>
  </si>
  <si>
    <t xml:space="preserve">Efficacité de récupération </t>
  </si>
  <si>
    <t>Émissions annuelles (Kg)</t>
  </si>
  <si>
    <r>
      <t>Émissions annuelles en t CO</t>
    </r>
    <r>
      <rPr>
        <vertAlign val="subscript"/>
        <sz val="11"/>
        <color theme="1"/>
        <rFont val="Calibri"/>
        <family val="2"/>
        <scheme val="minor"/>
      </rPr>
      <t xml:space="preserve">2 </t>
    </r>
    <r>
      <rPr>
        <sz val="11"/>
        <color theme="1"/>
        <rFont val="Calibri"/>
        <family val="2"/>
        <scheme val="minor"/>
      </rPr>
      <t>éq. 
(Émissions annuelles (kg)/1000)*PRG</t>
    </r>
  </si>
  <si>
    <t>Au niveau des émissions fugitives de GES provenant des systèmes de réfrigération, la Municipalité du Canton d'Orford ne possède qu'une seule bâtisse dans laquelle il y a un système de climatisation. Ce système contient du R22 (aussi nommé HCFC-22 et fréon 22). Ce gaz de refroidissement est un HCFC, qui est un GES, mais qui n’est pas inclus dans le protocole de Kyoto, car c’est une substance appauvrissant la couche d’ozone (SACO) qui est couverte par le protocole de Montréal. Donc, selon le protocole de Kyoto, les émissions de R22 ne doivent pas être incluses dans l’inventaire municipal des émissions de GES.</t>
  </si>
  <si>
    <t>(R22) Réfrigérants</t>
  </si>
  <si>
    <t>Bâtiment 2: Garage municipal, écocentre et station d'épuration des eaux usées- 1120, chemin de la Montagne</t>
  </si>
  <si>
    <t xml:space="preserve">Propane (L) </t>
  </si>
  <si>
    <t xml:space="preserve">Diesel (L) </t>
  </si>
  <si>
    <t>Émissions initiales (%)</t>
  </si>
  <si>
    <t>Émissions de fonctionnement (%)</t>
  </si>
  <si>
    <t>Charge initiale restante (%)</t>
  </si>
  <si>
    <t>Efficacité de récupération (%)</t>
  </si>
  <si>
    <t>Émissions annuelles en t CO2 éq. 
(Émissions annuelles (kg)/1000)*PRG</t>
  </si>
  <si>
    <t>Bâtiment 3: Chalet de service - 34, chemin de la Sucrerie</t>
  </si>
  <si>
    <t xml:space="preserve">Efficacité de récupération (%) </t>
  </si>
  <si>
    <t>Bâtiment 4: Caserne incendie - 6, chemin de la Sucrerie</t>
  </si>
  <si>
    <t>g CO2
(Volume*FE)</t>
  </si>
  <si>
    <t>Bâtiment 5: Poste Centre d'Arts (station de pompage-égoût) - 3169, chemin du Parc</t>
  </si>
  <si>
    <t>Bâtiment 6: Poste de pompage du golf (station de pompage-égoût) - 3057, chemin du Parc</t>
  </si>
  <si>
    <t xml:space="preserve">Émissions initiales (%) </t>
  </si>
  <si>
    <t>Bâtiment 7: Poste de Chéribourg (station de pompage-égoût) - 118, avenue des Érables</t>
  </si>
  <si>
    <t>Bâtiment 8: Poste de Courtemanche(station de pompage)  - 244, chemin Courtemanche</t>
  </si>
  <si>
    <t>Bâtiment 9: Poste Quatre-Vents (station de pompage)  - 1120 chemin de la Montagne</t>
  </si>
  <si>
    <t xml:space="preserve">Efficacité de récupération (%)  </t>
  </si>
  <si>
    <r>
      <t>Émissions annuelles en t CO</t>
    </r>
    <r>
      <rPr>
        <vertAlign val="subscript"/>
        <sz val="11"/>
        <color theme="1"/>
        <rFont val="Calibri"/>
        <family val="2"/>
        <scheme val="minor"/>
      </rPr>
      <t>2</t>
    </r>
    <r>
      <rPr>
        <sz val="11"/>
        <color theme="1"/>
        <rFont val="Calibri"/>
        <family val="2"/>
        <scheme val="minor"/>
      </rPr>
      <t xml:space="preserve"> éq.
Émissions annuelles*PRG</t>
    </r>
  </si>
  <si>
    <t>Bâtiment 10: Poste Estrimont (Station pompage)- 1, avenue de l'Auberge</t>
  </si>
  <si>
    <t>Bâtiment 11: Poste Castle - 80, rue de la Grande-Coulée</t>
  </si>
  <si>
    <t>Bâtiment 12: Poste Pompage Solière - 43, rue de la Crête</t>
  </si>
  <si>
    <t>Bâtiment 13: Interval (station de pompage) - 2712, route 141</t>
  </si>
  <si>
    <t>Bâtiment 14: Poste Village Orford (station de pompage eau potable)- 4681, route 141</t>
  </si>
  <si>
    <t>Bâtiment 15: Poste Montagnac (station de pompage et eau potable) - 89, rue Montagnac</t>
  </si>
  <si>
    <t>ÉÉmissions annuelles en t CO2 éq. 
(Émissions annuelles (kg)/1000)*PRG</t>
  </si>
  <si>
    <t>Bâtiment 16: Poste Chéribourg 4 (station de pompage et eau potable) - 2831, Chemoin du Parc</t>
  </si>
  <si>
    <t>Bâtiment 17: Poste Chéribourg 1,2,3 (station de pompage et eau potable) - 17, rue des Pruniers</t>
  </si>
  <si>
    <t>Bâtiment 18: Poste Pluviers (station de pompage eau potable) - 6,  rue des Pluviers</t>
  </si>
  <si>
    <t>Bâtiment 19: PosteVillas (station de pompage eau potable) - 88, rue des Villas</t>
  </si>
  <si>
    <t>Bâtiment 20: Réservoir poste Chéribourg (Résevoir d'eau potable) - 46, rue des hêtres</t>
  </si>
  <si>
    <t>Bâtiment 21: Usine d'épuration des eaux usées/ garage municipal -1120, chemin de la Montagne</t>
  </si>
  <si>
    <t>Bâtiment 22:Parc Le montagnais- 4932, rue Dubé</t>
  </si>
  <si>
    <t>Bâtiment 23: Poste Geais-Bleus (réservoir et station de pompage) - 55, rue des Geais-bleus</t>
  </si>
  <si>
    <t>Bâtiment 24: Réservoir la Brise (réservoir et station de pompage)- 34, rue de la Brise</t>
  </si>
  <si>
    <t>Bâtiment 25: Poste de surpression Roitelet (station d'aqueduc) -  4, rue du Héron</t>
  </si>
  <si>
    <t>Bâtiment 26: Poste d'aqueduc Rivière-aux-cerises - 1651, chemin de la Rivière aux cerises</t>
  </si>
  <si>
    <t>Bâtiment 27: Poste Jouvence- 91, chemin Jouvence</t>
  </si>
  <si>
    <t>Bâtiment 28: Maison blanche - 2301, chemin du Parc</t>
  </si>
  <si>
    <t>Bâtiment 29: Bâtiment de service - 2304, chemin du Parc</t>
  </si>
  <si>
    <t>Volume (L)</t>
  </si>
  <si>
    <t>Équipements et véhicules</t>
  </si>
  <si>
    <t>Essence (L)</t>
  </si>
  <si>
    <t xml:space="preserve">Transport Déneigement </t>
  </si>
  <si>
    <t>Transport entretien des routes                                                                                                                              Total</t>
  </si>
  <si>
    <t>Abat poussière</t>
  </si>
  <si>
    <t>Nivellage des chemins</t>
  </si>
  <si>
    <t>Transport et cueillette des déchets                                                                                                                      Total</t>
  </si>
  <si>
    <t xml:space="preserve">Cueillette déchets en bacs </t>
  </si>
  <si>
    <t>Transport des déchets en bacs</t>
  </si>
  <si>
    <t>Cueillette déchets en conteneurs</t>
  </si>
  <si>
    <t>Transport des déchets en conteneurs</t>
  </si>
  <si>
    <t>Transport et cueillette des matières recyclables                                                                                             Total</t>
  </si>
  <si>
    <t>Cueillette des matières recyclables en bacs</t>
  </si>
  <si>
    <t>Transport des matières recyclable en bacs</t>
  </si>
  <si>
    <t>Cueillette des matières recyclables en conteneurs</t>
  </si>
  <si>
    <t>Transport des matières recyclable en conteneurs</t>
  </si>
  <si>
    <t>Transport et collecte de la matière organique                                                                                                    Total</t>
  </si>
  <si>
    <t>Cueillette des matières compostables en bacs</t>
  </si>
  <si>
    <t>Transport des matières compostables en bacs</t>
  </si>
  <si>
    <t>Cueillette des feuilles mortes</t>
  </si>
  <si>
    <t>Transport des feuilles mortes</t>
  </si>
  <si>
    <t>Transport des matières récupérées à l'écocentre                                                                                            Total</t>
  </si>
  <si>
    <t>Transport branches et bûches</t>
  </si>
  <si>
    <t>Transport conteneurs encombrants</t>
  </si>
  <si>
    <t>Transport conteneurs de bois de construction</t>
  </si>
  <si>
    <t xml:space="preserve">Transport conteneurs d'agrégats </t>
  </si>
  <si>
    <t xml:space="preserve">Transport conteneurs de métal </t>
  </si>
  <si>
    <t>Transport conteneur de résidus domestiques dangereux</t>
  </si>
  <si>
    <t>Transport conteneurs de produits électroniques</t>
  </si>
  <si>
    <t>Transport de gaz propane</t>
  </si>
  <si>
    <t>Transport de verre</t>
  </si>
  <si>
    <t>Transport des boues des fosses septiques                                                                                                        Total</t>
  </si>
  <si>
    <t>Cueillette</t>
  </si>
  <si>
    <t xml:space="preserve">Mazout (L) </t>
  </si>
  <si>
    <t>Total des émissions directes pour le secteur corporatif</t>
  </si>
  <si>
    <t xml:space="preserve">Champ 1 - Émissions directes pour la collectivité </t>
  </si>
  <si>
    <t>Masse de gaz émis</t>
  </si>
  <si>
    <t>Propane (autre) (L)</t>
  </si>
  <si>
    <t>Bois de chauffage (Kg)</t>
  </si>
  <si>
    <t>Le CO2 biogénique n'est pas inclus dans l'inventaire</t>
  </si>
  <si>
    <t xml:space="preserve">Commercial et institutionnel </t>
  </si>
  <si>
    <r>
      <t>Gaz naturel (m</t>
    </r>
    <r>
      <rPr>
        <vertAlign val="superscript"/>
        <sz val="11"/>
        <color theme="1"/>
        <rFont val="Calibri"/>
        <family val="2"/>
        <scheme val="minor"/>
      </rPr>
      <t>3</t>
    </r>
    <r>
      <rPr>
        <sz val="11"/>
        <color theme="1"/>
        <rFont val="Calibri"/>
        <family val="2"/>
        <scheme val="minor"/>
      </rPr>
      <t xml:space="preserve">) </t>
    </r>
  </si>
  <si>
    <t>Mazout léger (L)</t>
  </si>
  <si>
    <t>Mazout lourd (L)</t>
  </si>
  <si>
    <t>Autre (propane) (L)</t>
  </si>
  <si>
    <t xml:space="preserve">Agriculture </t>
  </si>
  <si>
    <t>t CO2</t>
  </si>
  <si>
    <t>t CH4</t>
  </si>
  <si>
    <t>t N2O</t>
  </si>
  <si>
    <t>((tCH4*PRGCH4)</t>
  </si>
  <si>
    <r>
      <t>t N</t>
    </r>
    <r>
      <rPr>
        <b/>
        <vertAlign val="subscript"/>
        <sz val="11"/>
        <color theme="1"/>
        <rFont val="Calibri"/>
        <family val="2"/>
        <scheme val="minor"/>
      </rPr>
      <t>2</t>
    </r>
    <r>
      <rPr>
        <b/>
        <sz val="11"/>
        <color theme="1"/>
        <rFont val="Calibri"/>
        <family val="2"/>
        <scheme val="minor"/>
      </rPr>
      <t>O</t>
    </r>
  </si>
  <si>
    <t>(tCH4*PRG CH4)+(tN2O*PRG CH4)</t>
  </si>
  <si>
    <t xml:space="preserve">Traitement par fosses septiques </t>
  </si>
  <si>
    <t xml:space="preserve">Véhicules légers sur route à essence (L) </t>
  </si>
  <si>
    <t xml:space="preserve">Véhicules légers sur route au diesel (L) </t>
  </si>
  <si>
    <t>Total des émissions directes pour la collectivité</t>
  </si>
  <si>
    <t>Total des émissions de la champ 1 pour la municipalité du Canton d'Orford</t>
  </si>
  <si>
    <t>Légende</t>
  </si>
  <si>
    <t>Où FE= Masse de gaz émis,  M = Masse, P = puissance, PA= nombre de personnes par année, PRG= Potentiel de réchauffement global, V= volume</t>
  </si>
  <si>
    <t>Champ 2- Émissions indirectes liées à liées à l'énergie importée pour le secteur corporatif</t>
  </si>
  <si>
    <t xml:space="preserve">Puissance (kWh) </t>
  </si>
  <si>
    <t>Conversion en t CO2 éq.</t>
  </si>
  <si>
    <t>(Puissance*gCO2 éq.)/1000000</t>
  </si>
  <si>
    <t xml:space="preserve">Hydroélectricité </t>
  </si>
  <si>
    <t xml:space="preserve">Voir données station d'épuration </t>
  </si>
  <si>
    <t>Bâtiment 9:Poste Quatre-Vents (station de pompage)  - 1120 chemin de la Montagne</t>
  </si>
  <si>
    <t>Bâtiment 11:  Poste Castle - 80, rue de la Grande-Coulée</t>
  </si>
  <si>
    <t>Bâtiment 12 Poste Pompage Solière - 43, rue de la Crête</t>
  </si>
  <si>
    <t>Lampadaire du 165, rue Dubé</t>
  </si>
  <si>
    <t>Lampadaire du 2387, chemin du Parc</t>
  </si>
  <si>
    <t>Chemin du Parc</t>
  </si>
  <si>
    <t>2197, chemin du Parc</t>
  </si>
  <si>
    <t>2301, chemin du Parc</t>
  </si>
  <si>
    <t>2344, chemin du Parc</t>
  </si>
  <si>
    <t>90, avenue Desjardins</t>
  </si>
  <si>
    <t>Éclairage Route 220</t>
  </si>
  <si>
    <t>Lum Décor Cèdres</t>
  </si>
  <si>
    <t>Lum Décor rue Globale</t>
  </si>
  <si>
    <t xml:space="preserve">Total des émissions pour le secteur corporatif </t>
  </si>
  <si>
    <t>Champ 2- Émissions indirectes liées à liées à l'énergie importée pour la collectivité</t>
  </si>
  <si>
    <t xml:space="preserve">Secteur résidentiel </t>
  </si>
  <si>
    <t>Secteur commercial et institutionnel</t>
  </si>
  <si>
    <t>Total des émissions pour la collectivité</t>
  </si>
  <si>
    <t>Total des émissions de la champ 2 pour la municipalité du Canton d'Orford</t>
  </si>
  <si>
    <t xml:space="preserve">Légende </t>
  </si>
  <si>
    <t>Où FE= Facteur d'émission,  M = Masse, P = puissance, PA= nombre de personnes par année, PRG= Potentiel de réchauffement global, V= volume</t>
  </si>
  <si>
    <t>Description</t>
  </si>
  <si>
    <t>Valeur</t>
  </si>
  <si>
    <t>Unités</t>
  </si>
  <si>
    <t>Champ 3 -Autres émissions indirectes pour la collectivité</t>
  </si>
  <si>
    <t>Site Coaticook</t>
  </si>
  <si>
    <t>Capacité totale du site</t>
  </si>
  <si>
    <t>m3</t>
  </si>
  <si>
    <t xml:space="preserve">T CO2 X (1-% de captation)X pourcentage des émissions attribuable à l'enfouissement des déchets de la municipalité du Canton d'Orford
</t>
  </si>
  <si>
    <t xml:space="preserve">T CH4 X (1-% de captation) X pourcentage des émissions attribuable à l'enfouissement des déchets de la municipalité du Canton d'Orford
</t>
  </si>
  <si>
    <t xml:space="preserve">T N2O X (1-% de captation) X pourcentage des émissions attribuable à l'enfouissement des déchets de la municipalité du Canton d'Orford
</t>
  </si>
  <si>
    <t>(masse CH4*PRGCH4)</t>
  </si>
  <si>
    <t>Mégatonnes</t>
  </si>
  <si>
    <t>Enfouissement à l'extérieur du territoire site de Saint-Nicéphore</t>
  </si>
  <si>
    <t>Le CO2 est biogénique donc il n'apparaît pas dans le sommaire total</t>
  </si>
  <si>
    <t>Masse des déchets envoyées à l'enfouissement par la municipalité d'Orford</t>
  </si>
  <si>
    <t>tonnes</t>
  </si>
  <si>
    <t>Enfouissement à l'extérieur du territoire site de Coaticook</t>
  </si>
  <si>
    <t>Total des émissions pour l'enfouissement à l'extérieur du territoire</t>
  </si>
  <si>
    <t>Taux d'acceptation annuel du site</t>
  </si>
  <si>
    <t>tonnes métriques</t>
  </si>
  <si>
    <t>Total des émissions de la portée 3 pour la municipalité du Canton d'Orford</t>
  </si>
  <si>
    <t>captation et revalorisation des biogaz</t>
  </si>
  <si>
    <t>Pourcentage</t>
  </si>
  <si>
    <t>Site de Saint-Nicéphore</t>
  </si>
  <si>
    <t>Taux d'acceptation annuel du site entre 2020 et 2030</t>
  </si>
  <si>
    <t>Identification du site : Coaticook (L0 = 135 et K = 0,045) Voir le calculateur landgem en cliquant sur le lien ci-dessus</t>
  </si>
  <si>
    <t>Taux d'acceptation annuel du site entre 1984 et 2011</t>
  </si>
  <si>
    <t>Taux d'acceptation annuel du site 1984 et 2011</t>
  </si>
  <si>
    <t>Année d'inventaire dans Landgem</t>
  </si>
  <si>
    <t>Sources et références : Onglet estimation collectivité</t>
  </si>
  <si>
    <t>Gas / Pollutant</t>
  </si>
  <si>
    <t>Taux d'émission</t>
  </si>
  <si>
    <t>(Tonnes/an)</t>
  </si>
  <si>
    <t>(Mg/an)</t>
  </si>
  <si>
    <t>(m3/an)</t>
  </si>
  <si>
    <t>(av ft3/min)</t>
  </si>
  <si>
    <t>(ft3/an)</t>
  </si>
  <si>
    <t>(short tons/an)</t>
  </si>
  <si>
    <t>Total landfill gas</t>
  </si>
  <si>
    <t>Methane</t>
  </si>
  <si>
    <t>Carbon dioxide</t>
  </si>
  <si>
    <t>NMOC</t>
  </si>
  <si>
    <t>1,1,1-Trichloroethane (methyl chloroform) - HAP</t>
  </si>
  <si>
    <t>1,1,2,2-Tetrachloroethane - HAP/VOC</t>
  </si>
  <si>
    <t>1,1-Dichloroethane (ethylidene dichloride) - HAP/VOC</t>
  </si>
  <si>
    <t>1,1-Dichloroethene (vinylidene chloride) - HAP/VOC</t>
  </si>
  <si>
    <t>1,2-Dichloroethane (ethylene dichloride) - HAP/VOC</t>
  </si>
  <si>
    <t>1,2-Dichloropropane (propylene dichloride) - HAP/VOC</t>
  </si>
  <si>
    <t>2-Propanol (isopropyl alcohol) - VOC</t>
  </si>
  <si>
    <t>Acetone</t>
  </si>
  <si>
    <t>Acrylonitrile - HAP/VOC</t>
  </si>
  <si>
    <t>Benzene - No or Unknown Co-disposal - HAP/VOC</t>
  </si>
  <si>
    <t>Benzene - Co-disposal - HAP/VOC</t>
  </si>
  <si>
    <t>Bromodichloromethane - VOC</t>
  </si>
  <si>
    <t>Butane - VOC</t>
  </si>
  <si>
    <t>Carbon disulfide - HAP/VOC</t>
  </si>
  <si>
    <t>Carbon monoxide</t>
  </si>
  <si>
    <t>Carbon tetrachloride - HAP/VOC</t>
  </si>
  <si>
    <t>Carbonyl sulfide - HAP/VOC</t>
  </si>
  <si>
    <t>Chlorobenzene - HAP/VOC</t>
  </si>
  <si>
    <t>Chlorodifluoromethane</t>
  </si>
  <si>
    <t>Chloroethane (ethyl chloride) - HAP/VOC</t>
  </si>
  <si>
    <t>Chloroform - HAP/VOC</t>
  </si>
  <si>
    <t>Chloromethane - VOC</t>
  </si>
  <si>
    <t>Dichlorobenzene - (HAP for para isomer/VOC)</t>
  </si>
  <si>
    <t>Dichlorodifluoromethane</t>
  </si>
  <si>
    <t>Dichlorofluoromethane - VOC</t>
  </si>
  <si>
    <t>Dichloromethane (methylene chloride) - HAP</t>
  </si>
  <si>
    <t>Dimethyl sulfide (methyl sulfide) - VOC</t>
  </si>
  <si>
    <t>Ethane</t>
  </si>
  <si>
    <t>Ethanol - VOC</t>
  </si>
  <si>
    <t>Ethyl mercaptan (ethanethiol) - VOC</t>
  </si>
  <si>
    <t>Ethylbenzene - HAP/VOC</t>
  </si>
  <si>
    <t>Ethylene dibromide - HAP/VOC</t>
  </si>
  <si>
    <t>Fluorotrichloromethane - VOC</t>
  </si>
  <si>
    <t>Hexane - HAP/VOC</t>
  </si>
  <si>
    <t>Hydrogen sulfide</t>
  </si>
  <si>
    <t>Mercury (total) - HAP</t>
  </si>
  <si>
    <t>Methyl ethyl ketone - HAP/VOC</t>
  </si>
  <si>
    <t>Methyl isobutyl ketone - HAP/VOC</t>
  </si>
  <si>
    <t>Methyl mercaptan - VOC</t>
  </si>
  <si>
    <t>Pentane - VOC</t>
  </si>
  <si>
    <t>Perchloroethylene (tetrachloroethylene) - HAP</t>
  </si>
  <si>
    <t>Propane - VOC</t>
  </si>
  <si>
    <t>t-1,2-Dichloroethene - VOC</t>
  </si>
  <si>
    <t>Toluene - No or Unknown Co-disposal - HAP/VOC</t>
  </si>
  <si>
    <t>Toluene - Co-disposal - HAP/VOC</t>
  </si>
  <si>
    <t>Trichloroethylene (trichloroethene) - HAP/VOC</t>
  </si>
  <si>
    <t>Vinyl chloride - HAP/VOC</t>
  </si>
  <si>
    <t>Xylenes - HAP/VOC</t>
  </si>
  <si>
    <t>Identification du site : Saint-Nicéphore (L0 = 135 et K = 0,045) Voir le calculateur landgem en cliquant sur le lien ci-dessus</t>
  </si>
  <si>
    <t>Taux d'émissions</t>
  </si>
  <si>
    <t>(av ft3/an)</t>
  </si>
  <si>
    <t>Potentiel de réchauffement global sur 100 ans</t>
  </si>
  <si>
    <r>
      <t>CO</t>
    </r>
    <r>
      <rPr>
        <b/>
        <vertAlign val="subscript"/>
        <sz val="11"/>
        <color theme="0"/>
        <rFont val="Calibri"/>
        <family val="2"/>
        <scheme val="minor"/>
      </rPr>
      <t>2</t>
    </r>
  </si>
  <si>
    <r>
      <t>CH</t>
    </r>
    <r>
      <rPr>
        <b/>
        <vertAlign val="subscript"/>
        <sz val="13"/>
        <color theme="0"/>
        <rFont val="Calibri"/>
        <family val="2"/>
        <scheme val="minor"/>
      </rPr>
      <t>4</t>
    </r>
    <r>
      <rPr>
        <b/>
        <sz val="13"/>
        <color theme="0"/>
        <rFont val="Calibri"/>
        <family val="2"/>
        <scheme val="minor"/>
      </rPr>
      <t xml:space="preserve"> </t>
    </r>
  </si>
  <si>
    <r>
      <t>N</t>
    </r>
    <r>
      <rPr>
        <b/>
        <vertAlign val="subscript"/>
        <sz val="11"/>
        <color theme="0"/>
        <rFont val="Calibri"/>
        <family val="2"/>
        <scheme val="minor"/>
      </rPr>
      <t>2</t>
    </r>
    <r>
      <rPr>
        <b/>
        <sz val="11"/>
        <color theme="0"/>
        <rFont val="Calibri"/>
        <family val="2"/>
        <scheme val="minor"/>
      </rPr>
      <t>O</t>
    </r>
  </si>
  <si>
    <t>SF6</t>
  </si>
  <si>
    <t>NF3</t>
  </si>
  <si>
    <t>Référence</t>
  </si>
  <si>
    <t>https://www.canada.ca/en/environment-climate-change/services/climate-change/greenhouse-gas-emissions/quantification-guidance/global-warming-potentials.html</t>
  </si>
  <si>
    <t>Potentiel de réchauffement global des halocarbures sur 100 ans</t>
  </si>
  <si>
    <t>Famille du produit</t>
  </si>
  <si>
    <t>Nom du produit</t>
  </si>
  <si>
    <r>
      <t>Potentiel de réchauffement planétaire (PRP)</t>
    </r>
    <r>
      <rPr>
        <b/>
        <vertAlign val="superscript"/>
        <sz val="11"/>
        <color theme="1"/>
        <rFont val="Calibri"/>
        <family val="2"/>
        <scheme val="minor"/>
      </rPr>
      <t>2</t>
    </r>
  </si>
  <si>
    <t>CFC</t>
  </si>
  <si>
    <t>R-12</t>
  </si>
  <si>
    <t>https://ghgprotocol.org/sites/default/files/ghgp/Global-Warming-Potential-Values%20%28Feb%2016%202016%29_1.pdf</t>
  </si>
  <si>
    <t>R-11</t>
  </si>
  <si>
    <t>R-115</t>
  </si>
  <si>
    <t>Halons</t>
  </si>
  <si>
    <t>R-12B1</t>
  </si>
  <si>
    <t>R-13B1</t>
  </si>
  <si>
    <t>HCFC</t>
  </si>
  <si>
    <t>R-123</t>
  </si>
  <si>
    <t>R-124</t>
  </si>
  <si>
    <t>R-142b</t>
  </si>
  <si>
    <t>R-22</t>
  </si>
  <si>
    <t>Hydrofluoracarbures (HFCs) IPCC potentiels de réchauffement global - sur 100 ans</t>
  </si>
  <si>
    <t xml:space="preserve">Gaz </t>
  </si>
  <si>
    <t xml:space="preserve">Formule </t>
  </si>
  <si>
    <t xml:space="preserve">5e rapport GIEC </t>
  </si>
  <si>
    <t>HFC-23</t>
  </si>
  <si>
    <t>CHF3</t>
  </si>
  <si>
    <t>HFC-32</t>
  </si>
  <si>
    <t>CH2F2</t>
  </si>
  <si>
    <t>HFC-41</t>
  </si>
  <si>
    <t>CH3F</t>
  </si>
  <si>
    <t>HFC-43-10mee</t>
  </si>
  <si>
    <t>CF3CHFCHFCF2CF3</t>
  </si>
  <si>
    <t>HFC-125</t>
  </si>
  <si>
    <t>CHF2CF3</t>
  </si>
  <si>
    <t>HFC-134</t>
  </si>
  <si>
    <t>CHF2CHF2</t>
  </si>
  <si>
    <t>HFC-134a</t>
  </si>
  <si>
    <t>CH2FCF3</t>
  </si>
  <si>
    <t>HFC-143</t>
  </si>
  <si>
    <t>CH2FCHF2</t>
  </si>
  <si>
    <t>HFC-143a</t>
  </si>
  <si>
    <t>CH3CF3</t>
  </si>
  <si>
    <t>HFC-152</t>
  </si>
  <si>
    <t>CH2FCH2F</t>
  </si>
  <si>
    <t>HFC-152a</t>
  </si>
  <si>
    <t>CH3CHF2</t>
  </si>
  <si>
    <t>HFC-161</t>
  </si>
  <si>
    <t>CH3CH2F</t>
  </si>
  <si>
    <t>HFC-227ea</t>
  </si>
  <si>
    <t>CF3CHFCF3</t>
  </si>
  <si>
    <t>HFC-236cb</t>
  </si>
  <si>
    <t>CH2FCF2CF3</t>
  </si>
  <si>
    <t>HFC-236ea</t>
  </si>
  <si>
    <t>CHF2CHFCF3</t>
  </si>
  <si>
    <t>HFC-236fa</t>
  </si>
  <si>
    <t>CF3CH2CF3</t>
  </si>
  <si>
    <t>HFC-245ca</t>
  </si>
  <si>
    <t>CH2FCF2CHF2</t>
  </si>
  <si>
    <t>HFC-245fa</t>
  </si>
  <si>
    <t xml:space="preserve">	CHF2CH2CF3</t>
  </si>
  <si>
    <t>HFC-365mfc</t>
  </si>
  <si>
    <t xml:space="preserve">CH3CF2CH2CF3	</t>
  </si>
  <si>
    <t>Perfluorocarbures (PFC) IPCC Potentiels de réchauffement global sur 100 ans</t>
  </si>
  <si>
    <t>Perfluoromethane</t>
  </si>
  <si>
    <r>
      <t>CF</t>
    </r>
    <r>
      <rPr>
        <sz val="10"/>
        <color rgb="FF333333"/>
        <rFont val="Arial"/>
        <family val="2"/>
      </rPr>
      <t>4</t>
    </r>
  </si>
  <si>
    <t>Perfluoroethane</t>
  </si>
  <si>
    <r>
      <t>C</t>
    </r>
    <r>
      <rPr>
        <sz val="10"/>
        <color rgb="FF333333"/>
        <rFont val="Arial"/>
        <family val="2"/>
      </rPr>
      <t>2</t>
    </r>
    <r>
      <rPr>
        <sz val="13"/>
        <color rgb="FF333333"/>
        <rFont val="Arial"/>
        <family val="2"/>
      </rPr>
      <t>F</t>
    </r>
    <r>
      <rPr>
        <sz val="10"/>
        <color rgb="FF333333"/>
        <rFont val="Arial"/>
        <family val="2"/>
      </rPr>
      <t>6</t>
    </r>
  </si>
  <si>
    <t>Perfluoropropane</t>
  </si>
  <si>
    <r>
      <t>C</t>
    </r>
    <r>
      <rPr>
        <sz val="10"/>
        <color rgb="FF333333"/>
        <rFont val="Arial"/>
        <family val="2"/>
      </rPr>
      <t>3</t>
    </r>
    <r>
      <rPr>
        <sz val="13"/>
        <color rgb="FF333333"/>
        <rFont val="Arial"/>
        <family val="2"/>
      </rPr>
      <t>F</t>
    </r>
    <r>
      <rPr>
        <sz val="10"/>
        <color rgb="FF333333"/>
        <rFont val="Arial"/>
        <family val="2"/>
      </rPr>
      <t>8</t>
    </r>
  </si>
  <si>
    <t>Perfluorobutane</t>
  </si>
  <si>
    <r>
      <t>C</t>
    </r>
    <r>
      <rPr>
        <sz val="10"/>
        <color rgb="FF333333"/>
        <rFont val="Arial"/>
        <family val="2"/>
      </rPr>
      <t>4</t>
    </r>
    <r>
      <rPr>
        <sz val="13"/>
        <color rgb="FF333333"/>
        <rFont val="Arial"/>
        <family val="2"/>
      </rPr>
      <t>F</t>
    </r>
    <r>
      <rPr>
        <sz val="10"/>
        <color rgb="FF333333"/>
        <rFont val="Arial"/>
        <family val="2"/>
      </rPr>
      <t>10</t>
    </r>
  </si>
  <si>
    <t>Perfluorocyclobutane</t>
  </si>
  <si>
    <r>
      <t>c-C</t>
    </r>
    <r>
      <rPr>
        <sz val="10"/>
        <color rgb="FF333333"/>
        <rFont val="Arial"/>
        <family val="2"/>
      </rPr>
      <t>4</t>
    </r>
    <r>
      <rPr>
        <sz val="13"/>
        <color rgb="FF333333"/>
        <rFont val="Arial"/>
        <family val="2"/>
      </rPr>
      <t>F</t>
    </r>
    <r>
      <rPr>
        <sz val="10"/>
        <color rgb="FF333333"/>
        <rFont val="Arial"/>
        <family val="2"/>
      </rPr>
      <t>8</t>
    </r>
  </si>
  <si>
    <t>Perfluoropentane</t>
  </si>
  <si>
    <r>
      <t>C</t>
    </r>
    <r>
      <rPr>
        <sz val="10"/>
        <color rgb="FF333333"/>
        <rFont val="Arial"/>
        <family val="2"/>
      </rPr>
      <t>5</t>
    </r>
    <r>
      <rPr>
        <sz val="13"/>
        <color rgb="FF333333"/>
        <rFont val="Arial"/>
        <family val="2"/>
      </rPr>
      <t>F</t>
    </r>
    <r>
      <rPr>
        <sz val="10"/>
        <color rgb="FF333333"/>
        <rFont val="Arial"/>
        <family val="2"/>
      </rPr>
      <t>12</t>
    </r>
  </si>
  <si>
    <t>Perfluorohexane</t>
  </si>
  <si>
    <r>
      <t>C</t>
    </r>
    <r>
      <rPr>
        <sz val="10"/>
        <color rgb="FF333333"/>
        <rFont val="Arial"/>
        <family val="2"/>
      </rPr>
      <t>6</t>
    </r>
    <r>
      <rPr>
        <sz val="13"/>
        <color rgb="FF333333"/>
        <rFont val="Arial"/>
        <family val="2"/>
      </rPr>
      <t>F</t>
    </r>
    <r>
      <rPr>
        <sz val="10"/>
        <color rgb="FF333333"/>
        <rFont val="Arial"/>
        <family val="2"/>
      </rPr>
      <t>14</t>
    </r>
  </si>
  <si>
    <t>Perfluorodecalin</t>
  </si>
  <si>
    <r>
      <t>C</t>
    </r>
    <r>
      <rPr>
        <sz val="10"/>
        <color rgb="FF333333"/>
        <rFont val="Arial"/>
        <family val="2"/>
      </rPr>
      <t>10</t>
    </r>
    <r>
      <rPr>
        <sz val="13"/>
        <color rgb="FF333333"/>
        <rFont val="Arial"/>
        <family val="2"/>
      </rPr>
      <t>F</t>
    </r>
    <r>
      <rPr>
        <sz val="10"/>
        <color rgb="FF333333"/>
        <rFont val="Arial"/>
        <family val="2"/>
      </rPr>
      <t>18</t>
    </r>
  </si>
  <si>
    <t>Perfluorocyclopropane</t>
  </si>
  <si>
    <r>
      <t>c-C</t>
    </r>
    <r>
      <rPr>
        <sz val="10"/>
        <color rgb="FF333333"/>
        <rFont val="Arial"/>
        <family val="2"/>
      </rPr>
      <t>3</t>
    </r>
    <r>
      <rPr>
        <sz val="13"/>
        <color rgb="FF333333"/>
        <rFont val="Arial"/>
        <family val="2"/>
      </rPr>
      <t>F</t>
    </r>
    <r>
      <rPr>
        <sz val="10"/>
        <color rgb="FF333333"/>
        <rFont val="Arial"/>
        <family val="2"/>
      </rPr>
      <t>6</t>
    </r>
  </si>
  <si>
    <t xml:space="preserve">Facteurs d'émission </t>
  </si>
  <si>
    <t>Nom de la source d'énergie</t>
  </si>
  <si>
    <t>Références</t>
  </si>
  <si>
    <t>Facteurs d'émission associés aux équipements stationnaires</t>
  </si>
  <si>
    <t>g CO2/ m3</t>
  </si>
  <si>
    <t>g CH4/m3</t>
  </si>
  <si>
    <t>g N2O/m3</t>
  </si>
  <si>
    <t>Tableaux A6.1-1 et A6.1-3 tirés du rapport d'inventaire national 1990-2020: Sources et puits de gaz à effet de serrre au  Canada</t>
  </si>
  <si>
    <t>g CO2/ litre</t>
  </si>
  <si>
    <t>g CH4/ litre</t>
  </si>
  <si>
    <t>g N2O/ litre</t>
  </si>
  <si>
    <t>Mazout léger résidentiel</t>
  </si>
  <si>
    <t>Tableau A6.1-5 tiré du rapport d'inventaire national 1990-2020: Sources et puits de gaz à effet de serre au Canada</t>
  </si>
  <si>
    <t>Tableau A6.1-4 tiré du rapport d'inventaire national 1990-2020: Sources et puits de gaz à effet de serre au Canada</t>
  </si>
  <si>
    <t xml:space="preserve">Diesel </t>
  </si>
  <si>
    <t xml:space="preserve">Essence à moteur </t>
  </si>
  <si>
    <t>Facteurs d'émission associés aux équipements mobiles</t>
  </si>
  <si>
    <t>g de CH4/litre</t>
  </si>
  <si>
    <t>g N2O/litre</t>
  </si>
  <si>
    <t>Véhicules à essence</t>
  </si>
  <si>
    <t xml:space="preserve">Tableau A6.1-14 tiré du rapport d'inventaire national1990-2020:Sources et puits de gaz à effet de serre au Canada
</t>
  </si>
  <si>
    <t>Véhicules légers à essence (VLE)</t>
  </si>
  <si>
    <t xml:space="preserve"> Niveau 2 </t>
  </si>
  <si>
    <t xml:space="preserve">Niveau 1 </t>
  </si>
  <si>
    <t xml:space="preserve">Niveau 0 </t>
  </si>
  <si>
    <t xml:space="preserve">Convertisseur catalytique d'oxydation </t>
  </si>
  <si>
    <t xml:space="preserve"> Système sans catalyseur </t>
  </si>
  <si>
    <t xml:space="preserve">Camions légers à essence (CLE) </t>
  </si>
  <si>
    <t xml:space="preserve">Niveau 2 </t>
  </si>
  <si>
    <t xml:space="preserve"> Convertisseur catalytique d'oxydation</t>
  </si>
  <si>
    <t>Véhicules lourds à essence</t>
  </si>
  <si>
    <t xml:space="preserve"> Catalyseur à trois voies </t>
  </si>
  <si>
    <t xml:space="preserve"> Sans dispositif </t>
  </si>
  <si>
    <t xml:space="preserve"> Motocyclettes</t>
  </si>
  <si>
    <t xml:space="preserve"> Système sans catalyseur  </t>
  </si>
  <si>
    <t>Véhicules à moteur diesel</t>
  </si>
  <si>
    <t xml:space="preserve"> Véhicules légers à moteur diesel (VLMD)</t>
  </si>
  <si>
    <t xml:space="preserve"> Dispositif perfectionné</t>
  </si>
  <si>
    <t xml:space="preserve"> Dispositif à efficacité modérée </t>
  </si>
  <si>
    <t xml:space="preserve"> Sans dispositif  </t>
  </si>
  <si>
    <t>Camions légers à moteur diesel (CLMD)</t>
  </si>
  <si>
    <t xml:space="preserve"> Sans dispositif 
</t>
  </si>
  <si>
    <t xml:space="preserve"> Véhicules lourds à moteur diesel</t>
  </si>
  <si>
    <t xml:space="preserve"> Dispositif perfectionné </t>
  </si>
  <si>
    <t xml:space="preserve">Véhicules au gaz naturel </t>
  </si>
  <si>
    <t xml:space="preserve">Véhicules au propane </t>
  </si>
  <si>
    <t xml:space="preserve">Véhicules hors route </t>
  </si>
  <si>
    <t xml:space="preserve"> Véhicules hors route à essence 2 temps </t>
  </si>
  <si>
    <t xml:space="preserve"> Véhicules hors route à essence 4 temps </t>
  </si>
  <si>
    <t xml:space="preserve"> Véhicules hors route à moteur diesel &lt;19kW </t>
  </si>
  <si>
    <t xml:space="preserve"> Véhicules hors route à moteur diesel ≥19kW,  Niveau 1 - 3 </t>
  </si>
  <si>
    <t xml:space="preserve"> Véhicules hors route à moteur diesel ≥19kW,  Niveau 4 </t>
  </si>
  <si>
    <t xml:space="preserve"> Véhicules au gaz naturel </t>
  </si>
  <si>
    <t xml:space="preserve"> Véhicules au propane </t>
  </si>
  <si>
    <t>Transport ferroviaire</t>
  </si>
  <si>
    <t xml:space="preserve"> Trains alimentés au diesel </t>
  </si>
  <si>
    <t>Transport maritime</t>
  </si>
  <si>
    <t xml:space="preserve"> Essence </t>
  </si>
  <si>
    <t xml:space="preserve"> Alimentés au mazout léger </t>
  </si>
  <si>
    <t xml:space="preserve"> Alimentés au mazout lourd </t>
  </si>
  <si>
    <t>Kerosene</t>
  </si>
  <si>
    <t>Transport aérien</t>
  </si>
  <si>
    <t xml:space="preserve">Essence d'aviation </t>
  </si>
  <si>
    <t xml:space="preserve"> Carburéacteur </t>
  </si>
  <si>
    <t>Combustibles renouvelables</t>
  </si>
  <si>
    <t xml:space="preserve"> Éthanol </t>
  </si>
  <si>
    <t xml:space="preserve"> Biodiesel </t>
  </si>
  <si>
    <t>Facteurs d'émission associés à l'électricité</t>
  </si>
  <si>
    <t>g CO2/ kWh</t>
  </si>
  <si>
    <t>g de CH4/kWh</t>
  </si>
  <si>
    <t>g N2O/kWh</t>
  </si>
  <si>
    <t>g CO2 éq/kWh</t>
  </si>
  <si>
    <t>Intensité relative à la consommation d'électricité au Québec</t>
  </si>
  <si>
    <t>Tableau A13-6 tiré du rapport d'inventaire national1990-2020:Sources et puits de gaz à effet de serre au Canada</t>
  </si>
  <si>
    <t xml:space="preserve">Facteurs d'émission associés à l'approvisionnement </t>
  </si>
  <si>
    <t>g CO2/ tonne</t>
  </si>
  <si>
    <t>g de CH4/tonne</t>
  </si>
  <si>
    <t>g N2O/tonne</t>
  </si>
  <si>
    <t xml:space="preserve">g CO2 éq/tonne </t>
  </si>
  <si>
    <t xml:space="preserve">Papier </t>
  </si>
  <si>
    <t>S.O.</t>
  </si>
  <si>
    <t>Analyse du cycle de vie des papiers Rolland</t>
  </si>
  <si>
    <t>Facteurs d'émission associés à l'eau</t>
  </si>
  <si>
    <t>g de CH4/m3</t>
  </si>
  <si>
    <t>gCO2 éq.</t>
  </si>
  <si>
    <t xml:space="preserve">Consommation d'eau potable </t>
  </si>
  <si>
    <t>https://www.mamunicipaliteefficace.ca/91-efficacite-energetique-ges-les-economies-deau-potable.html</t>
  </si>
  <si>
    <t>kg CH4 /Kg DBO</t>
  </si>
  <si>
    <t>kg N2O/kg</t>
  </si>
  <si>
    <t>Eaux usées 
étang aérés/fosse septique</t>
  </si>
  <si>
    <t>Étang aéré 0
fosse septique 0,18</t>
  </si>
  <si>
    <t>Étang aéré 0,016
fosse septique 0</t>
  </si>
  <si>
    <t>https://www.environnement.gouv.qc.ca/changements/ges/guide-quantification/guide-quantification-ges.pdf</t>
  </si>
  <si>
    <t>g CO2/ kg</t>
  </si>
  <si>
    <t>g de CH4/kg</t>
  </si>
  <si>
    <t>g N2O/kg N</t>
  </si>
  <si>
    <t xml:space="preserve">Poêle à bois classiques </t>
  </si>
  <si>
    <t>Tableau A6,6,1 tiré du rapport d'inventaire national 1990-2020: Sources et puits de gaz à effet de serre au Canada</t>
  </si>
  <si>
    <t>Poêle à granules</t>
  </si>
  <si>
    <t>Mazout lourd résidentiel, foresterie, construction, administration publique et pour les secteurs commercial et résidentiel</t>
  </si>
  <si>
    <t xml:space="preserve">Mazout léger pour foresterie, administration publique et pour les secteurs commercial et industriel </t>
  </si>
  <si>
    <t>***Veuillez prendre note que le rapport d'inventaire national du Canada est mis à jour annuellement. Il est important de prendre la dernière version du rapport d'inventaire national du Canada. ****</t>
  </si>
  <si>
    <t>Consommation d'énergie secondaire pour le secteur résidentiel au Québec</t>
  </si>
  <si>
    <t>1) Mise en contexte issue des données de 2020 pour le Québec du Ministère des Ressources naturelles du Canada</t>
  </si>
  <si>
    <t>Consommation totale d’énergie (PJ) (Ressources naturelles Canada, 2020)</t>
  </si>
  <si>
    <t>Consommation d’énergie par source d’énergie (PJ)</t>
  </si>
  <si>
    <t>Mazout de chauffage</t>
  </si>
  <si>
    <r>
      <t>Autres</t>
    </r>
    <r>
      <rPr>
        <vertAlign val="superscript"/>
        <sz val="12"/>
        <rFont val="Calibri"/>
        <family val="2"/>
        <scheme val="minor"/>
      </rPr>
      <t>1</t>
    </r>
  </si>
  <si>
    <t>Bois de chauffage</t>
  </si>
  <si>
    <t>Part (%)</t>
  </si>
  <si>
    <t>Activité</t>
  </si>
  <si>
    <r>
      <t>Surface de plancher totale (millions m</t>
    </r>
    <r>
      <rPr>
        <vertAlign val="superscript"/>
        <sz val="12"/>
        <color rgb="FF000000"/>
        <rFont val="Calibri"/>
        <family val="2"/>
        <scheme val="minor"/>
      </rPr>
      <t>2</t>
    </r>
    <r>
      <rPr>
        <sz val="12"/>
        <color rgb="FF000000"/>
        <rFont val="Calibri"/>
        <family val="2"/>
        <scheme val="minor"/>
      </rPr>
      <t>)</t>
    </r>
  </si>
  <si>
    <t>Nombre total de ménages (milliers)</t>
  </si>
  <si>
    <r>
      <t>Intensité énergétique (GJ/m</t>
    </r>
    <r>
      <rPr>
        <b/>
        <vertAlign val="superscript"/>
        <sz val="12"/>
        <color rgb="FF000000"/>
        <rFont val="Calibri"/>
        <family val="2"/>
        <scheme val="minor"/>
      </rPr>
      <t>2</t>
    </r>
    <r>
      <rPr>
        <b/>
        <sz val="12"/>
        <color rgb="FF000000"/>
        <rFont val="Calibri"/>
        <family val="2"/>
        <scheme val="minor"/>
      </rPr>
      <t>)</t>
    </r>
  </si>
  <si>
    <t>Intensité énergétique (GJ/ménage)</t>
  </si>
  <si>
    <r>
      <t>C) Selon Ressources naturelles Canada, la conversion de kWh en joules selon ressources naturelles Canada = 1 Wh =3600000 joules donc 1Kwh = 0,0000000036 Pj, où 1 Pj = 1 X 10</t>
    </r>
    <r>
      <rPr>
        <vertAlign val="superscript"/>
        <sz val="11"/>
        <color theme="1"/>
        <rFont val="Calibri"/>
        <family val="2"/>
        <scheme val="minor"/>
      </rPr>
      <t>15</t>
    </r>
    <r>
      <rPr>
        <sz val="11"/>
        <color theme="1"/>
        <rFont val="Calibri"/>
        <family val="2"/>
        <scheme val="minor"/>
      </rPr>
      <t xml:space="preserve"> j
(Ressources naturelles Canada, 2023))</t>
    </r>
  </si>
  <si>
    <t>Type d'énergie</t>
  </si>
  <si>
    <t>% énergie secondaire pour le secteur résidentiel au Québec</t>
  </si>
  <si>
    <t>N.A</t>
  </si>
  <si>
    <t>Autres (propane)</t>
  </si>
  <si>
    <t>Total</t>
  </si>
  <si>
    <t xml:space="preserve">Nous devons maintenant transformer les Pj d'énergie en l pour le mazout et les autres et en kg pour  bois de chauffage </t>
  </si>
  <si>
    <t>Unité (PJ)</t>
  </si>
  <si>
    <t>Kg</t>
  </si>
  <si>
    <t>L</t>
  </si>
  <si>
    <t xml:space="preserve">Références: </t>
  </si>
  <si>
    <r>
      <t>1) Régie de l'énergie du Canada. (2023)</t>
    </r>
    <r>
      <rPr>
        <i/>
        <sz val="11"/>
        <color theme="1"/>
        <rFont val="Calibri"/>
        <family val="2"/>
        <scheme val="minor"/>
      </rPr>
      <t>. Tables de conversion d'unités d'énergie</t>
    </r>
    <r>
      <rPr>
        <sz val="11"/>
        <color theme="1"/>
        <rFont val="Calibri"/>
        <family val="2"/>
        <scheme val="minor"/>
      </rPr>
      <t>. https://apps.cer-rec.gc.ca/Conversion/conversion-tables.aspx?GoCTemplateCulture=fr-CA</t>
    </r>
  </si>
  <si>
    <r>
      <t xml:space="preserve">2) Hydro-Québec. (2021). </t>
    </r>
    <r>
      <rPr>
        <i/>
        <sz val="11"/>
        <color theme="1"/>
        <rFont val="Calibri"/>
        <family val="2"/>
        <scheme val="minor"/>
      </rPr>
      <t>L'énergie de la biomasse</t>
    </r>
    <r>
      <rPr>
        <sz val="11"/>
        <color theme="1"/>
        <rFont val="Calibri"/>
        <family val="2"/>
        <scheme val="minor"/>
      </rPr>
      <t>. https://www.hydroquebec.com/data/developpement-durable/pdf/fiche-biomasse-2021.pdf</t>
    </r>
  </si>
  <si>
    <r>
      <t xml:space="preserve">3) Ressources naturelles Canada. (2023). </t>
    </r>
    <r>
      <rPr>
        <i/>
        <sz val="11"/>
        <color theme="1"/>
        <rFont val="Calibri"/>
        <family val="2"/>
        <scheme val="minor"/>
      </rPr>
      <t>Facteurs de conversion et unités fréquemment utilisées dans le cadre de la coopération nord-américaine en matière d'information sur l'énergie</t>
    </r>
    <r>
      <rPr>
        <sz val="11"/>
        <color theme="1"/>
        <rFont val="Calibri"/>
        <family val="2"/>
        <scheme val="minor"/>
      </rPr>
      <t>. https://ressources-naturelles.canada.ca/energie/international/cnaie/18058</t>
    </r>
  </si>
  <si>
    <r>
      <t>5) Ressources naturelles du Canada. (2020</t>
    </r>
    <r>
      <rPr>
        <i/>
        <sz val="11"/>
        <color theme="1"/>
        <rFont val="Calibri"/>
        <family val="2"/>
        <scheme val="minor"/>
      </rPr>
      <t>). Consommation d'énergie secondaire et émissions de GES par sources d'énergie au Québec</t>
    </r>
    <r>
      <rPr>
        <sz val="11"/>
        <color theme="1"/>
        <rFont val="Calibri"/>
        <family val="2"/>
        <scheme val="minor"/>
      </rPr>
      <t>. https://view.officeapps.live.com/op/view.aspx?src=https%3A%2F%2Foee.nrcan.gc.ca%2Forganisme%2Fstatistiques%2Fbnce%2Fapd%2Fdonnees_f%2Ftelechargements%2Fcomplet%2FExcel%2F2020%2Fres_ca_f_1.xls&amp;wdOrigin=BROWSELINK</t>
    </r>
  </si>
  <si>
    <t>Consommation d'énergie secondaire pour le secteur commercial et institutionnel au Québec</t>
  </si>
  <si>
    <t>Référence: Ressources naturelles du Canada 2020</t>
  </si>
  <si>
    <t>Consommation totale d’énergie (PJ)</t>
  </si>
  <si>
    <t>Mazouts légers et kérosène</t>
  </si>
  <si>
    <t>Mazouts lourds</t>
  </si>
  <si>
    <t>Vapeur</t>
  </si>
  <si>
    <r>
      <t>Autres</t>
    </r>
    <r>
      <rPr>
        <vertAlign val="superscript"/>
        <sz val="12"/>
        <rFont val="Calibri"/>
        <family val="2"/>
        <scheme val="minor"/>
      </rPr>
      <t>2</t>
    </r>
  </si>
  <si>
    <r>
      <t>Surface de plancher totale (millions m</t>
    </r>
    <r>
      <rPr>
        <vertAlign val="superscript"/>
        <sz val="12"/>
        <rFont val="Calibri"/>
        <family val="2"/>
        <scheme val="minor"/>
      </rPr>
      <t>2</t>
    </r>
    <r>
      <rPr>
        <sz val="12"/>
        <rFont val="Calibri"/>
        <family val="2"/>
        <scheme val="minor"/>
      </rPr>
      <t>)</t>
    </r>
  </si>
  <si>
    <t>Mazout léger ou kérosène</t>
  </si>
  <si>
    <t>j) Si 92,8 % des énergies représente 0,09183929 Pj, alors 100% de l'énergie représente ((100*0,09183929)/92,8)=0,098964756 Pj</t>
  </si>
  <si>
    <t>Mazout Léger</t>
  </si>
  <si>
    <t xml:space="preserve">2) Mazout Lourd: </t>
  </si>
  <si>
    <r>
      <t xml:space="preserve">1) Régie de l'énergie du Canada.(2023). </t>
    </r>
    <r>
      <rPr>
        <i/>
        <sz val="11"/>
        <color theme="1"/>
        <rFont val="Calibri"/>
        <family val="2"/>
        <scheme val="minor"/>
      </rPr>
      <t>Table de conversion d'unités d'énergie</t>
    </r>
    <r>
      <rPr>
        <sz val="11"/>
        <color theme="1"/>
        <rFont val="Calibri"/>
        <family val="2"/>
        <scheme val="minor"/>
      </rPr>
      <t>. https://apps.cer-rec.gc.ca/Conversion/conversion-tables.aspx?GoCTemplateCulture=fr-CA</t>
    </r>
  </si>
  <si>
    <r>
      <t>2) Ressources naturelles du Canada. (2023).F</t>
    </r>
    <r>
      <rPr>
        <i/>
        <sz val="11"/>
        <color theme="1"/>
        <rFont val="Calibri"/>
        <family val="2"/>
        <scheme val="minor"/>
      </rPr>
      <t>acteurs de conversion et unités fréquemment utilisées dans le cadre de la coopération nord-américaine en matière d'information sur l'énergie (CNAIE).</t>
    </r>
    <r>
      <rPr>
        <sz val="11"/>
        <color theme="1"/>
        <rFont val="Calibri"/>
        <family val="2"/>
        <scheme val="minor"/>
      </rPr>
      <t xml:space="preserve"> https://ressources-naturelles.canada.ca/energie/international/cnaie/18058</t>
    </r>
  </si>
  <si>
    <t>Le transport de la collectivité</t>
  </si>
  <si>
    <t xml:space="preserve">Nombre de véhicules </t>
  </si>
  <si>
    <t>Consommation de tous les types de carburant au Québec en 2022 selon Statistiques Canada (véhicules légers et utilitaires moyens)</t>
  </si>
  <si>
    <t xml:space="preserve">Hypothèse </t>
  </si>
  <si>
    <t>Véhicules à l'essence au Québec en 2022 selon Statistiques Canada (véhicules légers et utilitaires moyens)</t>
  </si>
  <si>
    <t>Véhicules au diesel au Québec en 2022 selon Statistiques Canada (véhicules légers et utilitaires moyens)</t>
  </si>
  <si>
    <t xml:space="preserve">1) Selon statistique Canada, le Québec en 2022 comptait 5629007 véhicules légers d'immatriculés : 5236131 véhicules légers immatriculés à essence,166421 véhicules légers immatriculés au Diesel et 61225 véhicules légers hybrides rechargeables et 165230 véhicules à batteries ou autres. (Statistique Canada-2). Donc 2,96 % des véhicules immatriculés sont diésel et  2,94% n'utilisent pas de carburant. Donc 93,02% des véhicules utilisent de l'essence.
2) Selon une étude du HEC, la consommation moyenne d'essence pour les véhicules légers du Québec en 2021 s'élevait à  9,4 L au 100 Km. (HEC, 2023) </t>
  </si>
  <si>
    <t xml:space="preserve"> Véhicules hybrides rechargeables au Québec en 2022 selon Statistiques Canada (véhicules légers et utilitaires moyens)</t>
  </si>
  <si>
    <t>Véhicules à batteries Québec en 2022 selon Statistiques Canada (véhicules légers et utilitaires moyens)</t>
  </si>
  <si>
    <t>Données issues de Google Environmental Insights Explorer</t>
  </si>
  <si>
    <t xml:space="preserve">Mode de transport </t>
  </si>
  <si>
    <t>Frontière des trajets</t>
  </si>
  <si>
    <t>Nombre de voyages</t>
  </si>
  <si>
    <t>Distance complète en (km)</t>
  </si>
  <si>
    <t>gpc_distance_km</t>
  </si>
  <si>
    <t>AUTOMOBILE</t>
  </si>
  <si>
    <t>IN-BOUNDARY</t>
  </si>
  <si>
    <t>INBOUND</t>
  </si>
  <si>
    <t>OUTBOUND</t>
  </si>
  <si>
    <t>TOTAL</t>
  </si>
  <si>
    <t>ON FOOT</t>
  </si>
  <si>
    <t xml:space="preserve">Total de km dans la municipalité </t>
  </si>
  <si>
    <t>Quantité totale de litres d'essence si 93,02% des véhicules sont à essence et qu'ils consomment 9,4 L au 100 Km (voir tableau 10 p. 24 du document du (HEC, 2023)).</t>
  </si>
  <si>
    <t>Quantité totale de litres d'essence si 2,96% des véhicules sont au diesel  et qu'ils consomment 9,4 L au 100 Km  (voir tableau 10 p. 24 du document du (HEC, 2023)).</t>
  </si>
  <si>
    <r>
      <t xml:space="preserve">1)  Chaire de gestion du secteur de l'énergie HEC. (2023). </t>
    </r>
    <r>
      <rPr>
        <i/>
        <sz val="11"/>
        <color theme="1"/>
        <rFont val="Calibri"/>
        <family val="2"/>
        <scheme val="minor"/>
      </rPr>
      <t xml:space="preserve">Caractération énergétique et des émissions de gaz à effet de serre (GES) du parc de véhicules légers immatriculés au Québec pour les années 2013-2021. </t>
    </r>
    <r>
      <rPr>
        <sz val="11"/>
        <color theme="1"/>
        <rFont val="Calibri"/>
        <family val="2"/>
        <scheme val="minor"/>
      </rPr>
      <t xml:space="preserve">
 https://energie.hec.ca/wp-content/uploads/2023/09/Rapport_CaraterisationParcAuto_final.pdf</t>
    </r>
  </si>
  <si>
    <r>
      <t xml:space="preserve">2) Statistique Canada. (2023-1). </t>
    </r>
    <r>
      <rPr>
        <i/>
        <sz val="11"/>
        <color theme="1"/>
        <rFont val="Calibri"/>
        <family val="2"/>
        <scheme val="minor"/>
      </rPr>
      <t>Ventes de carburants destinés aux véhicules automobiles, annuel X 1000.</t>
    </r>
    <r>
      <rPr>
        <sz val="11"/>
        <color theme="1"/>
        <rFont val="Calibri"/>
        <family val="2"/>
        <scheme val="minor"/>
      </rPr>
      <t xml:space="preserve">  https://www150.statcan.gc.ca/t1/tbl1/fr/tv.action?pid=2310006601&amp;pickMembers%5B0%5D=1.6&amp;cubeTimeFrame.startYear=2018&amp;cubeTimeFrame.endYear=2022&amp;referencePeriods=20180101%2C20220101</t>
    </r>
  </si>
  <si>
    <r>
      <t xml:space="preserve">3) Statistique Canada. (2023-2). </t>
    </r>
    <r>
      <rPr>
        <i/>
        <sz val="11"/>
        <color theme="1"/>
        <rFont val="Calibri"/>
        <family val="2"/>
        <scheme val="minor"/>
      </rPr>
      <t>Immatriculation des véhicules légers et utilitaires moyens: Tableau de bord interactif</t>
    </r>
    <r>
      <rPr>
        <sz val="11"/>
        <color theme="1"/>
        <rFont val="Calibri"/>
        <family val="2"/>
        <scheme val="minor"/>
      </rPr>
      <t>. https://www150.statcan.gc.ca/n1/pub/71-607-x/71-607-x2022023-fra.htm</t>
    </r>
  </si>
  <si>
    <t>Les émissions relatives à la climatisation des équipements mobiles</t>
  </si>
  <si>
    <t>Hypothèses:</t>
  </si>
  <si>
    <t>2) Les systèmes de refroidissement des véhicules légers utilisent le HFC-134a (le fréon) comme gaz réfrigérant dont le potentiel de réchauffement global est de 1430 (MELCCFP, 2023).</t>
  </si>
  <si>
    <t>3) Selon le GIEC, lorsque la valeur exacte de la capacité totale de l'équipement n'est pas connue, la valeur la plus haute (1,5kg) est prise.</t>
  </si>
  <si>
    <t>Les calculs  des émissions fugitives pour la climatisation des véhicules se font ainsi (GIEC, 2006):</t>
  </si>
  <si>
    <t>Émissions annuelles (Kg) = ((C*X*A)+(Qd*y*(1-z))</t>
  </si>
  <si>
    <t xml:space="preserve">Capacité totale de l'équipement (C) </t>
  </si>
  <si>
    <t xml:space="preserve">Émission de fonctionnement (X) </t>
  </si>
  <si>
    <t>Charge intitiale restante (Y)</t>
  </si>
  <si>
    <t>Efficacité de récupération (Z)</t>
  </si>
  <si>
    <t>0,5-1,5 kg</t>
  </si>
  <si>
    <t xml:space="preserve">C : Capacité totale de l’équipement (kg) 
x : Émission de fonctionnement (%) 
A : Nombre d’années d’utilisation 
Qd : Capacité des équipements non-utilisés (kg) 
y : Charge initiale restante (%) 
z : Efficacité de récupération (%) </t>
  </si>
  <si>
    <t>kg</t>
  </si>
  <si>
    <t xml:space="preserve">x : Émission de fonctionnement (%) </t>
  </si>
  <si>
    <t xml:space="preserve">A : Nombre d’années d’utilisation </t>
  </si>
  <si>
    <t>an</t>
  </si>
  <si>
    <t xml:space="preserve">Qd : Capacité des équipements non-utilisés (kg) </t>
  </si>
  <si>
    <t xml:space="preserve">y : Charge initiale restante (%) </t>
  </si>
  <si>
    <t>Calculs</t>
  </si>
  <si>
    <t xml:space="preserve">z : Efficacité de récupération (%) </t>
  </si>
  <si>
    <t>Émissions annuelles par véhicules</t>
  </si>
  <si>
    <t xml:space="preserve">Kg </t>
  </si>
  <si>
    <t xml:space="preserve">Chacun des véhicules émettent annuellement </t>
  </si>
  <si>
    <t>Émissions annuelles</t>
  </si>
  <si>
    <t xml:space="preserve">((1,5*0,2*1)+(0*0,5*(1-0,5))= </t>
  </si>
  <si>
    <t>Kg  annuel</t>
  </si>
  <si>
    <t>Références:</t>
  </si>
  <si>
    <r>
      <t>GIEC. (2006)</t>
    </r>
    <r>
      <rPr>
        <i/>
        <sz val="11"/>
        <color theme="1"/>
        <rFont val="Calibri"/>
        <family val="2"/>
        <scheme val="minor"/>
      </rPr>
      <t xml:space="preserve"> Lignes directrices pour les inventaires nationaux de gaz à effet de serre volume 3: Procédées industriels et utilisation des produits, tableau 7,9, p7,61</t>
    </r>
    <r>
      <rPr>
        <sz val="11"/>
        <color theme="1"/>
        <rFont val="Calibri"/>
        <family val="2"/>
        <scheme val="minor"/>
      </rPr>
      <t>. https://www.ipcc-nggip.iges.or.jp/public/2006gl/french/pdf/3_Volume3/V3_7_Ch7_ODS_Substitutes.pdf</t>
    </r>
  </si>
  <si>
    <r>
      <t xml:space="preserve">Ministère de l'Environnement, de la Lutte aux changements climatiques, de la Faune et des Parcs. (2023). </t>
    </r>
    <r>
      <rPr>
        <i/>
        <sz val="11"/>
        <color theme="1"/>
        <rFont val="Calibri"/>
        <family val="2"/>
        <scheme val="minor"/>
      </rPr>
      <t>Les halocarbures.</t>
    </r>
    <r>
      <rPr>
        <sz val="11"/>
        <color theme="1"/>
        <rFont val="Calibri"/>
        <family val="2"/>
        <scheme val="minor"/>
      </rPr>
      <t xml:space="preserve"> https://www.environnement.gouv.qc.ca/air/halocarbures/index.htm</t>
    </r>
  </si>
  <si>
    <t xml:space="preserve">1) Station d'épuration </t>
  </si>
  <si>
    <t xml:space="preserve">2) Fosses septiques </t>
  </si>
  <si>
    <t>Donc la station d'épuration des eaux usées dessert =</t>
  </si>
  <si>
    <t>Personnes</t>
  </si>
  <si>
    <t xml:space="preserve">Les installations septiques desservent = </t>
  </si>
  <si>
    <t xml:space="preserve">Calculs : </t>
  </si>
  <si>
    <t>Selon le MELCCFP 2023, voici comment mesurer les émissions de CH4 attribuables au traitement ou au rejet des eaux usées.</t>
  </si>
  <si>
    <t>Calcul des émissions de CH4 attribuables au traitement et au rejet des eaux usées</t>
  </si>
  <si>
    <t>CH4 = FE(CH4 (trait)X Chorg X Eff + FE CH4(rej) X Chorg X (1-eff))X0,001</t>
  </si>
  <si>
    <t xml:space="preserve">où </t>
  </si>
  <si>
    <t xml:space="preserve">CH4 = Émissions de CH4 attribuables au traitement et au rejet des eaux usées, exprimées en tonnes de CH4 par année; 
FECH4(trait) = Facteur d’émission du méthane associé au traitement des eaux usées, exprimé en kg CH4/kg DBO5;
ChOrg = Charge organique annuelle totale de l’usine de traitement des eaux usées, exprimée en kilogrammes de DBO5 par année;
FECH4(rej) = Facteur d’émission du méthane associé au rejet direct des eaux usées, exprimé en kg CH4/kg DBO5. 
Puisque les types de plans d’eau récepteurs peuvent être inconnus, ce guide adopte le facteur d’émission de niveau 1 utilisé dans le RIN 1990-2019 soit 0,0396 kg CH4/kg DBO5; 
Eff = Efficacité de traitement des eaux usées. Fraction de la charge organique des eaux usées enlevé lors du traitement.
0,001 = Facteur de conversion de kilogrammes à tonnes.
</t>
  </si>
  <si>
    <t xml:space="preserve">Calcul de la charge organique annuelle </t>
  </si>
  <si>
    <t>Chorg = Pop X DBOhab*jour X1,25X365</t>
  </si>
  <si>
    <t>ChOrg = Charge organique annuelle dans les systèmes de traitement des eaux usées, en kg de DBO5; 
Pop = Population qui est connectée au système de traitement des eaux usées; 
DBOHab.jour = Charge organique par habitant et par jour = 0,06 kgDBO5/personne/jour; 
1,25 = Coefficient de correction des apports industriels et commerciaux; 
365 = Facteur de correction jours/année.</t>
  </si>
  <si>
    <t>FECH4(trait) = Facteur d’émission du méthane associé au traitement des eaux usées pour lagune d'épuration aérobie</t>
  </si>
  <si>
    <t>kg CH4/kg DBO5</t>
  </si>
  <si>
    <t>FECH4(trait) = Facteur d’émission du méthane associé au traitement des eaux usées pour fosse septique</t>
  </si>
  <si>
    <t>ChOrg = Charge organique annuelle dans les systèmes de traitement en lagunes aérées</t>
  </si>
  <si>
    <t xml:space="preserve"> kg de DBO5</t>
  </si>
  <si>
    <t>ChOrg = Charge organique annuelle dans les systèmes de traitement des eaux usées en fosse septique</t>
  </si>
  <si>
    <t>Source: MELCCFP 2022</t>
  </si>
  <si>
    <t xml:space="preserve">FECH4(rej) = Facteur d’émission du méthane associé au rejet direct des eaux usées, exprimé en kg CH4/kg DBO5. </t>
  </si>
  <si>
    <t>1) Mesure des émissions de CH4 pour le traitement des eaux usées en lagunes aérées</t>
  </si>
  <si>
    <t>Eff = Efficacité de traitement des eaux usées. Fraction de la charge organique des eaux usées enlevé lors du traitement en Lagunes aérées.</t>
  </si>
  <si>
    <r>
      <rPr>
        <b/>
        <sz val="11"/>
        <color theme="1"/>
        <rFont val="Calibri"/>
        <family val="2"/>
        <scheme val="minor"/>
      </rPr>
      <t>Chorg</t>
    </r>
    <r>
      <rPr>
        <sz val="11"/>
        <color theme="1"/>
        <rFont val="Calibri"/>
        <family val="2"/>
        <scheme val="minor"/>
      </rPr>
      <t xml:space="preserve">= 2457X0,06 kgDBO5/personne/jour X 1,25 X365 = </t>
    </r>
  </si>
  <si>
    <t>Eff = Efficacité de traitement des eaux usées. Fraction de la charge organique des eaux usées enlevé lors du traitement en fosse septique.</t>
  </si>
  <si>
    <t>Kg DBO5</t>
  </si>
  <si>
    <t>Pop = Population qui est connectée au système de traitement des eaux usées (vers les lagunes aérées)</t>
  </si>
  <si>
    <r>
      <rPr>
        <b/>
        <sz val="11"/>
        <color theme="1"/>
        <rFont val="Calibri"/>
        <family val="2"/>
        <scheme val="minor"/>
      </rPr>
      <t>CH4</t>
    </r>
    <r>
      <rPr>
        <sz val="11"/>
        <color theme="1"/>
        <rFont val="Calibri"/>
        <family val="2"/>
        <scheme val="minor"/>
      </rPr>
      <t xml:space="preserve"> =((0X67247,69481X0,85)+(0,0396X67247,69481X(1-0,85)))X0,001= </t>
    </r>
  </si>
  <si>
    <t xml:space="preserve">Pop = Population qui est connectée à une fosse septique </t>
  </si>
  <si>
    <t>t CH4/an</t>
  </si>
  <si>
    <t>DBOHab.jour = Charge organique par habitant et par jour</t>
  </si>
  <si>
    <t>kgDBO5/personne/jour</t>
  </si>
  <si>
    <t xml:space="preserve">2) Mesure des émissions de CH4 pour les fosses septiques </t>
  </si>
  <si>
    <t xml:space="preserve"> Coefficient de correction des apports industriels et commerciaux; </t>
  </si>
  <si>
    <r>
      <rPr>
        <b/>
        <sz val="11"/>
        <color theme="1"/>
        <rFont val="Calibri"/>
        <family val="2"/>
        <scheme val="minor"/>
      </rPr>
      <t>Chorg</t>
    </r>
    <r>
      <rPr>
        <sz val="11"/>
        <color theme="1"/>
        <rFont val="Calibri"/>
        <family val="2"/>
        <scheme val="minor"/>
      </rPr>
      <t xml:space="preserve">= 2550X0,06 kgDBO5/personne/jour X 1,25 X365 = </t>
    </r>
  </si>
  <si>
    <t>Facteur de correction jours/année.</t>
  </si>
  <si>
    <t>Facteur de conversion Kg en tonne</t>
  </si>
  <si>
    <r>
      <rPr>
        <b/>
        <sz val="11"/>
        <color theme="1"/>
        <rFont val="Calibri"/>
        <family val="2"/>
        <scheme val="minor"/>
      </rPr>
      <t xml:space="preserve">CH4 </t>
    </r>
    <r>
      <rPr>
        <sz val="11"/>
        <color theme="1"/>
        <rFont val="Calibri"/>
        <family val="2"/>
        <scheme val="minor"/>
      </rPr>
      <t>= 0,18X69818,93019X1+0,0396X69818,93019X(1-1)X0,001=</t>
    </r>
  </si>
  <si>
    <t xml:space="preserve">CH4 = Émissions de CH4 attribuables au traitement et au rejet des eaux usées provenant des lagunes aérées. </t>
  </si>
  <si>
    <t>t CH4 par an</t>
  </si>
  <si>
    <t xml:space="preserve">CH4 = Émissions de CH4 attribuables au traitement et au rejet des eaux usées provenant des fosses septiques. </t>
  </si>
  <si>
    <t>3) Mesure des émissions de N2O</t>
  </si>
  <si>
    <t>Selon le MELCCFP 2023, les émissions de N2O se mesurent ainsi:</t>
  </si>
  <si>
    <t>EN2O = FE N2O XN X44/28 X 0,001</t>
  </si>
  <si>
    <t>EN2O = Émissions de N2O attribuables au traitement des eaux usées, exprimées en tonnes de N2O par année; FEN2O = Facteur d’émission de N2O attribuables aux eaux usées, utiliser le Tableau 34; 
N = Quantité d’azote présente dans les eaux usées, en kilogrammes de N par année; 
44/28 = Facteur stœchiométrique utilisé pour convertir l’azote moléculaire en N2O; 
0,001 = Facteur de conversion de kilogrammes à tonnes.</t>
  </si>
  <si>
    <r>
      <rPr>
        <b/>
        <sz val="11"/>
        <color theme="1"/>
        <rFont val="Calibri"/>
        <family val="2"/>
        <scheme val="minor"/>
      </rPr>
      <t xml:space="preserve">N = protéines X population X FNPR X N ménage X FNC </t>
    </r>
    <r>
      <rPr>
        <sz val="11"/>
        <color theme="1"/>
        <rFont val="Calibri"/>
        <family val="2"/>
        <scheme val="minor"/>
      </rPr>
      <t xml:space="preserve">
Où  :
:
N = Quantité d’azote totale présente dans les eaux usées municipales, en kilogrammes de N par
année;
Protéines = Consommation annuelle de protéines par personne = 69,85 kilogrammes par personne
par an;
Population = Population desservie par les installations de traitement des eaux usées;
FNPR = Fraction d’azote dans les protéines = 0,16 kilogramme de N par kilogramme de protéine;
Fménage = Fraction additionnelle d’azote issue des produits de ménage = 1,17;
FNC = Fraction de protéine non consommée = 1,13
</t>
    </r>
  </si>
  <si>
    <t>FE N2O (facteur d'émission de N2O attribuables aux eaux usées pour les stations d'épuration aérobies centralisées</t>
  </si>
  <si>
    <t>kg N2O/Kg N</t>
  </si>
  <si>
    <t xml:space="preserve">FE N2O (facteur d'émission de N2O attribuables aux eaux usées pour les fosses septiques </t>
  </si>
  <si>
    <t>N (Quantité d'azote dans les eaux usées pour les lagunes aérées)</t>
  </si>
  <si>
    <t>Kg N/an</t>
  </si>
  <si>
    <t>N (Quantité d'azote dans les eaux usées pour les fosses septiques)</t>
  </si>
  <si>
    <t xml:space="preserve">Facteur stœchiométrique utilisé pour convertir l’azote moléculaire en N2O; </t>
  </si>
  <si>
    <t xml:space="preserve">Facteur de conversion de kilogrammes en tonnes </t>
  </si>
  <si>
    <t>Population desservie par la station d'épuration aérobie</t>
  </si>
  <si>
    <t>Population desservie par les fosses septiques</t>
  </si>
  <si>
    <t>FNPR (fraction d'azote dans les protéines par personne)</t>
  </si>
  <si>
    <t>Kg de N/kg de protéines</t>
  </si>
  <si>
    <t>Source : MELCCFP 2022</t>
  </si>
  <si>
    <t>Protéines (consommation annuelle de protéines par personne</t>
  </si>
  <si>
    <t>Kg/pers/an</t>
  </si>
  <si>
    <t>Donc dans notre cas, le traitement en fosse septique émet une quantité négligeable de N2O  donc on peut dire que N2O = 0</t>
  </si>
  <si>
    <t>Fménage (fraction additionnelle d'azote issue des produits de ménage)</t>
  </si>
  <si>
    <t xml:space="preserve">Pour le traitement dans la station d'épuration aérobie centralisée voici le calcul: </t>
  </si>
  <si>
    <t>FNC (fraction protéine non consommée)</t>
  </si>
  <si>
    <t>EN2O (Émissions de N2O attribuables au traitement des eaux usées pour le traitement à la station d'épuration aérobie centralisé)</t>
  </si>
  <si>
    <t>t N2O /an</t>
  </si>
  <si>
    <t>EN2O (Émissions de N2O attribuables au traitement des eaux usées pour le traitement en fosse septique)</t>
  </si>
  <si>
    <t>t N2O/an</t>
  </si>
  <si>
    <r>
      <t xml:space="preserve">1) Ministère de l'Environnement, de la Lutte contre les changements climatiques, de la Faune et des Parcs. (2022). </t>
    </r>
    <r>
      <rPr>
        <i/>
        <sz val="11"/>
        <color theme="1"/>
        <rFont val="Calibri"/>
        <family val="2"/>
        <scheme val="minor"/>
      </rPr>
      <t>Guide de quantification des émissions de gaz à effet de serre</t>
    </r>
    <r>
      <rPr>
        <sz val="11"/>
        <color theme="1"/>
        <rFont val="Calibri"/>
        <family val="2"/>
        <scheme val="minor"/>
      </rPr>
      <t>. https://www.environnement.gouv.qc.ca/changements/ges/guide-quantification/guide-quantification-ges.pdf</t>
    </r>
  </si>
  <si>
    <t xml:space="preserve">Gestion des matières résiduelles </t>
  </si>
  <si>
    <t>Mise en contexte</t>
  </si>
  <si>
    <t>Le LET  possède un certificat d'autorisation autorisant un volume d'enfouissement de 398 000 m3 (MRC Coaticook, 2022). Actuellement, environ 15 500Tm de déchets y sont enfouis annuellement. À ce rythme la durée de vie du LET est estimée à 15 ans (2037)(MRC Coaticook, 2022).</t>
  </si>
  <si>
    <t>donc chaque année, il y a 15 500 Tm d'enfoui ou  0,01550 mégatonne</t>
  </si>
  <si>
    <t>Le LET de Saint-Nicéphore est muni de capteur de biogaz et il capte et réutilise ces biogaz (WM, 2019).</t>
  </si>
  <si>
    <t>Le lieu d'enfouissement technique (LET) de Saint-Nicéphore et en fonction depuis 1984. En 1996 Waste Management en a fait l'acquisition et elle en est toujours propriétaire (Maxime Descôteaux. 2005).</t>
  </si>
  <si>
    <t>Ce LET, géré par Waste Management, recevait des déchets au moins jusqu’en septembre 2021. WM a obtenu, en septembre 2020, l’autorisation du MELCC pour poursuivre ses activités pour une durée de 10 ans (fermeture 2030) avec un tonnage annuel de 430 000 tonnes (MRC Drumond, 2023).</t>
  </si>
  <si>
    <t>Selon l'estimateur déchet ior de Recyc-Québec le facteur de conversion pour les déchets en sacs est de 134 kg/m3 et de 65kg/m3 pour les déchets en conteneurs.</t>
  </si>
  <si>
    <t>1 mégatonne donne 1000000 tonnes</t>
  </si>
  <si>
    <t>Selon le ministère du Développement durable, Environnement, Faune et Parcs. Entre 1984 et 2011 (27 ans) le site a reçu et traité environ 13 milions de déchets donc un rythm d'acceptation annuel moyen de 481481,4815 tonnes</t>
  </si>
  <si>
    <t>Mesure entrées dans LANDGEM pour Coaticook</t>
  </si>
  <si>
    <t>Année d'ouverture: 1982</t>
  </si>
  <si>
    <t>Année de fermeture: 2037</t>
  </si>
  <si>
    <t>K:  0,045 (AECOM techconsult, 2010)</t>
  </si>
  <si>
    <t>L0: 135 (AECOM techconsult, 2010)</t>
  </si>
  <si>
    <t>Les taux d'acceptation pour 1982 à 2037 0,0155 mégatonne</t>
  </si>
  <si>
    <t>0% des biogaz sont captés (MRC Coaticook)</t>
  </si>
  <si>
    <t>Mesure entrées dans LANDGEM pour Saint-Nicéphore</t>
  </si>
  <si>
    <t>tableau 6.1 Historique des quantités de matières résiduelles au site de Saint-Nicéphore (source: AECOM techconsult INC.)</t>
  </si>
  <si>
    <t xml:space="preserve">Année d'ouverture: 1984 </t>
  </si>
  <si>
    <t xml:space="preserve">Année de fermeture: 2030 </t>
  </si>
  <si>
    <t>Les taux d'acceptation pour 1984 à 2009 voir tableau 6,1</t>
  </si>
  <si>
    <t>Les taux d'acceptation pour 2009  à 2020 estimés à 0,468548</t>
  </si>
  <si>
    <t>Les taux d'acceptation pour 2020  à 2030 estimés à0,43</t>
  </si>
  <si>
    <t>82 % des biogaz sont captés par des réseaux de collecteurs horizontaux au site de Saint-Nicéphore (AECOM, 2010)</t>
  </si>
  <si>
    <t>Références :</t>
  </si>
  <si>
    <r>
      <t>1) Ministère de l'Environnement, de la Lutte contre les changements climatiques, de la Faune et des Parcs. (2022).</t>
    </r>
    <r>
      <rPr>
        <i/>
        <sz val="11"/>
        <color theme="1"/>
        <rFont val="Calibri"/>
        <family val="2"/>
        <scheme val="minor"/>
      </rPr>
      <t xml:space="preserve"> Guide de quantification des émissions de gaz à effet de serre</t>
    </r>
    <r>
      <rPr>
        <sz val="11"/>
        <color theme="1"/>
        <rFont val="Calibri"/>
        <family val="2"/>
        <scheme val="minor"/>
      </rPr>
      <t>. https://www.environnement.gouv.qc.ca/changements/ges/guide-quantification/guide-quantification-ges.pdf</t>
    </r>
  </si>
  <si>
    <r>
      <t>3) Statistique Canada. (2005).</t>
    </r>
    <r>
      <rPr>
        <i/>
        <sz val="11"/>
        <color theme="1"/>
        <rFont val="Calibri"/>
        <family val="2"/>
        <scheme val="minor"/>
      </rPr>
      <t xml:space="preserve"> Energy statistics handbook.</t>
    </r>
    <r>
      <rPr>
        <sz val="11"/>
        <color theme="1"/>
        <rFont val="Calibri"/>
        <family val="2"/>
        <scheme val="minor"/>
      </rPr>
      <t xml:space="preserve"> https://www150.statcan.gc.ca/n1/pub/57-601-x/00404/4173233-eng.htm</t>
    </r>
  </si>
  <si>
    <r>
      <t xml:space="preserve">4) Waste management. (2019). </t>
    </r>
    <r>
      <rPr>
        <i/>
        <sz val="11"/>
        <color theme="1"/>
        <rFont val="Calibri"/>
        <family val="2"/>
        <scheme val="minor"/>
      </rPr>
      <t>Nos initiatives environnementales et communautaires. Complexe environnemental et énergétique de Drummondville (secteur Saint-Nicéphore)</t>
    </r>
    <r>
      <rPr>
        <sz val="11"/>
        <color theme="1"/>
        <rFont val="Calibri"/>
        <family val="2"/>
        <scheme val="minor"/>
      </rPr>
      <t>.https://wm-drummondville.org/wp-content/uploads/2021/04/WMSN_Rapport-perfo_VF.pdf</t>
    </r>
  </si>
  <si>
    <r>
      <t xml:space="preserve">5) Maxime Descôteaux. (2005). </t>
    </r>
    <r>
      <rPr>
        <i/>
        <sz val="11"/>
        <color theme="1"/>
        <rFont val="Calibri"/>
        <family val="2"/>
        <scheme val="minor"/>
      </rPr>
      <t>Élaboration de scénarios visant la réduction des émissions de GES pour la gestion des matières résiduelles en Estrie</t>
    </r>
    <r>
      <rPr>
        <sz val="11"/>
        <color theme="1"/>
        <rFont val="Calibri"/>
        <family val="2"/>
        <scheme val="minor"/>
      </rPr>
      <t>.https://www.environnementestrie.ca/wp-content/uploads/2020/07/Rapport-final_GMR-en-Estrie.pdf</t>
    </r>
  </si>
  <si>
    <r>
      <t xml:space="preserve">6) MRC de Drummond. (2023). </t>
    </r>
    <r>
      <rPr>
        <i/>
        <sz val="11"/>
        <color theme="1"/>
        <rFont val="Calibri"/>
        <family val="2"/>
        <scheme val="minor"/>
      </rPr>
      <t>Plan de gestion des matières résiduelles. 2023-2030.</t>
    </r>
    <r>
      <rPr>
        <sz val="11"/>
        <color theme="1"/>
        <rFont val="Calibri"/>
        <family val="2"/>
        <scheme val="minor"/>
      </rPr>
      <t xml:space="preserve"> https://www.mrcdrummond.qc.ca/wp-content/uploads/2023/09/PGMR-2023-2030-MRC-de-Drummond.pdf</t>
    </r>
  </si>
  <si>
    <r>
      <t>7) United States Environmental Protection Agency (EPA). (2005). L</t>
    </r>
    <r>
      <rPr>
        <i/>
        <sz val="11"/>
        <color theme="1"/>
        <rFont val="Calibri"/>
        <family val="2"/>
        <scheme val="minor"/>
      </rPr>
      <t>andfill Gas Emissions Model (LandGEM) Version 3,02 User's guide</t>
    </r>
    <r>
      <rPr>
        <sz val="11"/>
        <color theme="1"/>
        <rFont val="Calibri"/>
        <family val="2"/>
        <scheme val="minor"/>
      </rPr>
      <t xml:space="preserve">. https://www3.epa.gov/ttncatc1/dir1/landgem-v302-guide.pdf </t>
    </r>
  </si>
  <si>
    <r>
      <t>8) Recyc-Québec. (2023).</t>
    </r>
    <r>
      <rPr>
        <i/>
        <sz val="11"/>
        <color theme="1"/>
        <rFont val="Calibri"/>
        <family val="2"/>
        <scheme val="minor"/>
      </rPr>
      <t>Estimateur déchets ior</t>
    </r>
    <r>
      <rPr>
        <sz val="11"/>
        <color theme="1"/>
        <rFont val="Calibri"/>
        <family val="2"/>
        <scheme val="minor"/>
      </rPr>
      <t>. https://www.recyc-quebec.gouv.qc.ca/sites/default/files/documents/estimateur-dechets-ior.xlsx</t>
    </r>
  </si>
  <si>
    <r>
      <t xml:space="preserve">9) Développement durable, Environnement, Faune et Parcs. (2013). </t>
    </r>
    <r>
      <rPr>
        <i/>
        <sz val="11"/>
        <color theme="1"/>
        <rFont val="Calibri"/>
        <family val="2"/>
        <scheme val="minor"/>
      </rPr>
      <t>Rapport d’analyse environnementale pour le projet d’agrandissement du lieu d’enfouissement technique de Saint-Nicéphore sur le territoire de la ville de Drummondville</t>
    </r>
    <r>
      <rPr>
        <sz val="11"/>
        <color theme="1"/>
        <rFont val="Calibri"/>
        <family val="2"/>
        <scheme val="minor"/>
      </rPr>
      <t>. https://www.environnement.gouv.qc.ca/evaluations/decret/2013/551-2013-ra.pdf</t>
    </r>
  </si>
  <si>
    <r>
      <t xml:space="preserve">10) AECOM techsult INC. (2010). </t>
    </r>
    <r>
      <rPr>
        <i/>
        <sz val="11"/>
        <color theme="1"/>
        <rFont val="Calibri"/>
        <family val="2"/>
        <scheme val="minor"/>
      </rPr>
      <t>Étude d'impact sur l'environnement du site d'enfouissement de Saint-Nicéphore</t>
    </r>
    <r>
      <rPr>
        <sz val="11"/>
        <color theme="1"/>
        <rFont val="Calibri"/>
        <family val="2"/>
        <scheme val="minor"/>
      </rPr>
      <t>. https://archives.bape.gouv.qc.ca/sections/mandats/LET-drummondville%E2%80%93saint-nicephore/documents/PR3.1/PR3.1_chap6.pdf</t>
    </r>
  </si>
  <si>
    <t xml:space="preserve">Le recensement du nombre de productions animales en Estrie pour l'année 2021 réalisé par le MAPAQ indique que le nombre de productions animales est demeuré stable. </t>
  </si>
  <si>
    <t xml:space="preserve"> </t>
  </si>
  <si>
    <t>Source: MAPAQ 2023</t>
  </si>
  <si>
    <t>Source MRC Memphrémagog. 2014</t>
  </si>
  <si>
    <t xml:space="preserve">Hypothèses: </t>
  </si>
  <si>
    <t>Seuls les productions de vaches laitières, vaches de boucherie et de moutons seront comptabilisées dans le présent document, car les autres productions sont trop marginales.</t>
  </si>
  <si>
    <t>Nombre de vaches laitières</t>
  </si>
  <si>
    <t>Vaches laitières</t>
  </si>
  <si>
    <t>Nombre de vaches de boucherie</t>
  </si>
  <si>
    <t>Vaches boucherie</t>
  </si>
  <si>
    <t>Nous émettons l'hypothèse que l'ensemble des productions épend du fumier solide.</t>
  </si>
  <si>
    <t>Nombre de moutons</t>
  </si>
  <si>
    <t>Mouton</t>
  </si>
  <si>
    <t>Calcul des émissions de CH4 attribuables à la fermentation entérique</t>
  </si>
  <si>
    <t>FCH4_fei pour vaches laitières</t>
  </si>
  <si>
    <t>kg/CH4/tête/an</t>
  </si>
  <si>
    <t>Ces calculs proviennent du document du MELCCFP 2022</t>
  </si>
  <si>
    <t xml:space="preserve">FCH4_fei pour vaches boucherie </t>
  </si>
  <si>
    <t>FCH4_fei pour moutons</t>
  </si>
  <si>
    <t>Facteur de conversion kg à tonne</t>
  </si>
  <si>
    <t>ECH4 Fermentation entérique Vaches laitières</t>
  </si>
  <si>
    <t>Tonnes de CH4</t>
  </si>
  <si>
    <t>ECH4 Fermentation entérique Vaches boucherie</t>
  </si>
  <si>
    <t>ECH4 Fermentation entérique mouton</t>
  </si>
  <si>
    <t>1) Calculs des émissions de CH4 relatives à la fermentation entérique</t>
  </si>
  <si>
    <t>Tonnes</t>
  </si>
  <si>
    <t>Calculs des émissions attribuables au stockage et au traitement du fumier</t>
  </si>
  <si>
    <t>FCH4_Gfi pour vaches laitières</t>
  </si>
  <si>
    <t xml:space="preserve">FCH4_Gfi pour vaches boucherie </t>
  </si>
  <si>
    <t>FCH4_GFi pour moutons</t>
  </si>
  <si>
    <t>ECH4 stockage et traitement du fumier des vaches laitières</t>
  </si>
  <si>
    <t>ECH4 stockage et traitement du fumier des vaches boucherie</t>
  </si>
  <si>
    <t>ECH4 stockage et traitement du fumier de mouton</t>
  </si>
  <si>
    <t>2)Émissions relatives au stockage et au traitement du fumier</t>
  </si>
  <si>
    <t>T exc vaches laitières</t>
  </si>
  <si>
    <t>kg N/tête/an</t>
  </si>
  <si>
    <t>T exc vaches de boucherie</t>
  </si>
  <si>
    <t>T exc moutons</t>
  </si>
  <si>
    <t>EN2O stockage et traitement du fumier des vaches laitières</t>
  </si>
  <si>
    <t>Tonnes de N2O</t>
  </si>
  <si>
    <t>EN2O stockage et traitement du fumier des vaches boucherie</t>
  </si>
  <si>
    <t>EN2O stockage et traitement du fumier de mouton</t>
  </si>
  <si>
    <t xml:space="preserve">Facteurs N2O N Stockage et traitement du fumier liquide </t>
  </si>
  <si>
    <t>Kg de N2O par Kg d'azote excrété</t>
  </si>
  <si>
    <t>Facteurs N2O N Stockage et traitement du fumier sec</t>
  </si>
  <si>
    <t>Source : MELCCFP</t>
  </si>
  <si>
    <r>
      <t xml:space="preserve">1) MRC Memphrémagog. (2014). </t>
    </r>
    <r>
      <rPr>
        <i/>
        <sz val="11"/>
        <color theme="1"/>
        <rFont val="Calibri"/>
        <family val="2"/>
        <scheme val="minor"/>
      </rPr>
      <t>Plan de développement de la zone agricole</t>
    </r>
    <r>
      <rPr>
        <sz val="11"/>
        <color theme="1"/>
        <rFont val="Calibri"/>
        <family val="2"/>
        <scheme val="minor"/>
      </rPr>
      <t>. https://d12oqns8b3bfa8.cloudfront.net/mrcmemphre/documents/PDZA_MRC_Memphremagog_VF_basse.pdf?v=1678713598</t>
    </r>
  </si>
  <si>
    <r>
      <t xml:space="preserve">2) MAPAQ. (2023). </t>
    </r>
    <r>
      <rPr>
        <i/>
        <sz val="11"/>
        <color theme="1"/>
        <rFont val="Calibri"/>
        <family val="2"/>
        <scheme val="minor"/>
      </rPr>
      <t>Profil régional de l'industrie bioalimentaire au Québec pour l'année 2021- Estrie</t>
    </r>
    <r>
      <rPr>
        <sz val="11"/>
        <color theme="1"/>
        <rFont val="Calibri"/>
        <family val="2"/>
        <scheme val="minor"/>
      </rPr>
      <t>. https://cdn-contenu.quebec.ca/cdn-contenu/adm/min/agriculture-pecheries-alimentation/agriculture/industrie-agricole/regions/FS_profilregionalbioalimentaire_Estrie_MAPAQ.pdf</t>
    </r>
  </si>
  <si>
    <r>
      <t xml:space="preserve">3) Ministère de l'Environnement, de la lutte contre les changements climatiques, de la Faune et des Parcs. (2022). </t>
    </r>
    <r>
      <rPr>
        <i/>
        <sz val="11"/>
        <color theme="1"/>
        <rFont val="Calibri"/>
        <family val="2"/>
        <scheme val="minor"/>
      </rPr>
      <t>Guide de quantification des émissions de gaz à effet de serre</t>
    </r>
    <r>
      <rPr>
        <sz val="11"/>
        <color theme="1"/>
        <rFont val="Calibri"/>
        <family val="2"/>
        <scheme val="minor"/>
      </rPr>
      <t>. https://www.environnement.gouv.qc.ca/changements/ges/guide-quantification/guide-quantification-ges.pdf</t>
    </r>
  </si>
  <si>
    <t>Données pour le secteur corporatif champ 1</t>
  </si>
  <si>
    <t xml:space="preserve">Adresse </t>
  </si>
  <si>
    <t xml:space="preserve">Carburant ou halocarbure </t>
  </si>
  <si>
    <t xml:space="preserve">Unité </t>
  </si>
  <si>
    <t xml:space="preserve">Provenance des données </t>
  </si>
  <si>
    <t>Commentaire/suivis</t>
  </si>
  <si>
    <t xml:space="preserve">Gaz naturel </t>
  </si>
  <si>
    <r>
      <t>m</t>
    </r>
    <r>
      <rPr>
        <b/>
        <vertAlign val="superscript"/>
        <sz val="11"/>
        <color theme="1"/>
        <rFont val="Calibri"/>
        <family val="2"/>
        <scheme val="minor"/>
      </rPr>
      <t>3</t>
    </r>
  </si>
  <si>
    <t xml:space="preserve">Propane </t>
  </si>
  <si>
    <t>HFC (R22)</t>
  </si>
  <si>
    <t>Bâtiment 2: Bâtiment 2: Garage municipal, écocentre et station d'épuration des eaux usées- 1120, chemin de la Montagne et bâtiment 9 : Poste 4 vents</t>
  </si>
  <si>
    <t>HFC</t>
  </si>
  <si>
    <t>Bâtiment 8: Poste de Courtemanche (station de pompage) - 244, chemin Courtemanche</t>
  </si>
  <si>
    <t>Bâtiment 9: Poste Quatre-Vents (station de pompage)  - Les données sont avec le 1120 chemin de la Montagne</t>
  </si>
  <si>
    <t>Bâtiment 21: Usine d'épuration des eaux usées/ garage municipal -1120, chemin de la Montagne (voir Station d'épuration des eaux)</t>
  </si>
  <si>
    <t xml:space="preserve">Véhicule </t>
  </si>
  <si>
    <t>Carburant</t>
  </si>
  <si>
    <t xml:space="preserve">Équipements et véhicules </t>
  </si>
  <si>
    <t xml:space="preserve">Essence </t>
  </si>
  <si>
    <t>Réfrigérant</t>
  </si>
  <si>
    <t>Usine d'épuration des eaux usées/ garage municipal -1120, chemin de la Montagne</t>
  </si>
  <si>
    <r>
      <t>M</t>
    </r>
    <r>
      <rPr>
        <vertAlign val="superscript"/>
        <sz val="11"/>
        <color theme="1"/>
        <rFont val="Calibri"/>
        <family val="2"/>
        <scheme val="minor"/>
      </rPr>
      <t>3</t>
    </r>
  </si>
  <si>
    <t xml:space="preserve">Données pour la collectivité champ 1 </t>
  </si>
  <si>
    <t xml:space="preserve">Secteur </t>
  </si>
  <si>
    <t xml:space="preserve">Carburant  </t>
  </si>
  <si>
    <t>Propane (autre)</t>
  </si>
  <si>
    <t>Mazout léger</t>
  </si>
  <si>
    <t>Consommation de carburant des bâtiments</t>
  </si>
  <si>
    <t>Consommation de carburant des équipements agricoles</t>
  </si>
  <si>
    <t xml:space="preserve">Traitement des eaux usées </t>
  </si>
  <si>
    <t>Tonnes de rejets de CH4 et de N2O</t>
  </si>
  <si>
    <t>T CH4</t>
  </si>
  <si>
    <t>T N2O</t>
  </si>
  <si>
    <t xml:space="preserve">Litres </t>
  </si>
  <si>
    <t xml:space="preserve">Total </t>
  </si>
  <si>
    <t>Véhicules légers sur route essence</t>
  </si>
  <si>
    <t>Véhicules légers sur route diesel</t>
  </si>
  <si>
    <t xml:space="preserve">Sous-traitant </t>
  </si>
  <si>
    <t xml:space="preserve">Entretien </t>
  </si>
  <si>
    <t xml:space="preserve">Abat poussière </t>
  </si>
  <si>
    <t xml:space="preserve">Nivellage des chemins </t>
  </si>
  <si>
    <t>Cueillette déchets bacs</t>
  </si>
  <si>
    <t>Transport déchets bacs</t>
  </si>
  <si>
    <t>Cueillette des conteneurs à déchets</t>
  </si>
  <si>
    <t>Transport des conteneurs à déchets</t>
  </si>
  <si>
    <t>Cueillette des bacs de recyclage</t>
  </si>
  <si>
    <t>Transport des bacs de recyclage</t>
  </si>
  <si>
    <t>Cueillette des conteneurs de recyclage</t>
  </si>
  <si>
    <t>Transport des conteneurs de recyclage</t>
  </si>
  <si>
    <t>Cueillette des bacs de compost</t>
  </si>
  <si>
    <t>Transport des bacs de compost</t>
  </si>
  <si>
    <t>Transport des bacs des feuilles mortes</t>
  </si>
  <si>
    <t xml:space="preserve">Transport  branches et buches </t>
  </si>
  <si>
    <t>Boues fosses septiques</t>
  </si>
  <si>
    <t xml:space="preserve">Cueillette </t>
  </si>
  <si>
    <t>Données pour le secteur corporatif champ 2</t>
  </si>
  <si>
    <t>kWh</t>
  </si>
  <si>
    <t>Bâtiment 2: Garage municipal, écocentre et station d'épuration des eaux usées- 1120, chemin de la Montagne et bâtiment 9 Poste Quatre-Vents</t>
  </si>
  <si>
    <t>Bâtiment 9:Poste Quatre-Vents (station de pompage)  - Les données sont avec le 1120 chemin de la Montagne</t>
  </si>
  <si>
    <t>Bâtiment 21: Usine d'épuration des eaux usées/ garage municipal et remise-1120, chemin de la Montagne</t>
  </si>
  <si>
    <t>Lampadaire voisin du 2387, chemin du Parc</t>
  </si>
  <si>
    <t>chemin du Parc</t>
  </si>
  <si>
    <t>2197, chemin du Parc Orford</t>
  </si>
  <si>
    <t>Données pour le secteur corporatif champ 3</t>
  </si>
  <si>
    <t>Enfouissement à l'extérieur du territoire</t>
  </si>
  <si>
    <t>matières enfouies à Coaticook (RIGDSC)</t>
  </si>
  <si>
    <t>matières enfouies à  St-Nicéphore</t>
  </si>
  <si>
    <r>
      <t xml:space="preserve">
Le présent calculateur permet de mesurer les émissions de GES d'une municipalité de 5 000. Il est basé sur le protocole intitulé </t>
    </r>
    <r>
      <rPr>
        <i/>
        <sz val="11"/>
        <color theme="1"/>
        <rFont val="Calibri"/>
        <family val="2"/>
        <scheme val="minor"/>
      </rPr>
      <t>Global Protocol for community-Scale Greenhouse Gas Inventories</t>
    </r>
    <r>
      <rPr>
        <sz val="11"/>
        <color theme="1"/>
        <rFont val="Calibri"/>
        <family val="2"/>
        <scheme val="minor"/>
      </rPr>
      <t xml:space="preserve"> et s'inspire de la </t>
    </r>
    <r>
      <rPr>
        <i/>
        <sz val="11"/>
        <color theme="1"/>
        <rFont val="Calibri"/>
        <family val="2"/>
        <scheme val="minor"/>
      </rPr>
      <t>norme ISO 14064-1:2018</t>
    </r>
    <r>
      <rPr>
        <sz val="11"/>
        <color theme="1"/>
        <rFont val="Calibri"/>
        <family val="2"/>
        <scheme val="minor"/>
      </rPr>
      <t xml:space="preserve">. 
L'onglet intitulé </t>
    </r>
    <r>
      <rPr>
        <i/>
        <sz val="11"/>
        <color theme="1"/>
        <rFont val="Calibri"/>
        <family val="2"/>
        <scheme val="minor"/>
      </rPr>
      <t>Sommaire</t>
    </r>
    <r>
      <rPr>
        <sz val="11"/>
        <color theme="1"/>
        <rFont val="Calibri"/>
        <family val="2"/>
        <scheme val="minor"/>
      </rPr>
      <t xml:space="preserve"> présente le portrait général des émissions de GES issues des activités de la municipalité </t>
    </r>
    <r>
      <rPr>
        <sz val="11"/>
        <color rgb="FFFF0000"/>
        <rFont val="Calibri"/>
        <family val="2"/>
        <scheme val="minor"/>
      </rPr>
      <t>XXX 1</t>
    </r>
    <r>
      <rPr>
        <vertAlign val="superscript"/>
        <sz val="11"/>
        <color rgb="FFFF0000"/>
        <rFont val="Calibri"/>
        <family val="2"/>
        <scheme val="minor"/>
      </rPr>
      <t>er</t>
    </r>
    <r>
      <rPr>
        <sz val="11"/>
        <color rgb="FFFF0000"/>
        <rFont val="Calibri"/>
        <family val="2"/>
        <scheme val="minor"/>
      </rPr>
      <t xml:space="preserve"> janvier 20XX au 31 décembre 20XX</t>
    </r>
    <r>
      <rPr>
        <sz val="11"/>
        <color theme="1"/>
        <rFont val="Calibri"/>
        <family val="2"/>
        <scheme val="minor"/>
      </rPr>
      <t xml:space="preserve"> pour le secteur corporatif et pour la collectivité. Les mesures des émissions seront séparées en fonction des trois champs (scopes) prévues au protocole sus-mentionné. De son côté, l'onglet graphique présente les graphiques automatisées en fonction des données présentées dans l'onglet </t>
    </r>
    <r>
      <rPr>
        <i/>
        <sz val="11"/>
        <color theme="1"/>
        <rFont val="Calibri"/>
        <family val="2"/>
        <scheme val="minor"/>
      </rPr>
      <t>Sommaire</t>
    </r>
    <r>
      <rPr>
        <sz val="11"/>
        <color theme="1"/>
        <rFont val="Calibri"/>
        <family val="2"/>
        <scheme val="minor"/>
      </rPr>
      <t xml:space="preserve">.
 Les calculs sont automatisés dans les onglets intitulés </t>
    </r>
    <r>
      <rPr>
        <i/>
        <sz val="11"/>
        <color theme="1"/>
        <rFont val="Calibri"/>
        <family val="2"/>
        <scheme val="minor"/>
      </rPr>
      <t>Scope 1</t>
    </r>
    <r>
      <rPr>
        <sz val="11"/>
        <color theme="1"/>
        <rFont val="Calibri"/>
        <family val="2"/>
        <scheme val="minor"/>
      </rPr>
      <t xml:space="preserve">, </t>
    </r>
    <r>
      <rPr>
        <i/>
        <sz val="11"/>
        <color theme="1"/>
        <rFont val="Calibri"/>
        <family val="2"/>
        <scheme val="minor"/>
      </rPr>
      <t>Scope 2</t>
    </r>
    <r>
      <rPr>
        <sz val="11"/>
        <color theme="1"/>
        <rFont val="Calibri"/>
        <family val="2"/>
        <scheme val="minor"/>
      </rPr>
      <t xml:space="preserve"> et </t>
    </r>
    <r>
      <rPr>
        <i/>
        <sz val="11"/>
        <color theme="1"/>
        <rFont val="Calibri"/>
        <family val="2"/>
        <scheme val="minor"/>
      </rPr>
      <t>Scope 3</t>
    </r>
    <r>
      <rPr>
        <sz val="11"/>
        <color theme="1"/>
        <rFont val="Calibri"/>
        <family val="2"/>
        <scheme val="minor"/>
      </rPr>
      <t>. Dans ces onglets, vous trouverez les différents calculs permettant d'évaluer les émissions de GES. Les résultats sont présentés en tCO</t>
    </r>
    <r>
      <rPr>
        <vertAlign val="subscript"/>
        <sz val="11"/>
        <color theme="1"/>
        <rFont val="Calibri"/>
        <family val="2"/>
        <scheme val="minor"/>
      </rPr>
      <t>2</t>
    </r>
    <r>
      <rPr>
        <sz val="11"/>
        <color theme="1"/>
        <rFont val="Calibri"/>
        <family val="2"/>
        <scheme val="minor"/>
      </rPr>
      <t xml:space="preserve"> éq.
Un onglet est didié aux </t>
    </r>
    <r>
      <rPr>
        <i/>
        <sz val="11"/>
        <color theme="1"/>
        <rFont val="Calibri"/>
        <family val="2"/>
        <scheme val="minor"/>
      </rPr>
      <t xml:space="preserve">facteurs d'émission (FE). </t>
    </r>
    <r>
      <rPr>
        <sz val="11"/>
        <color theme="1"/>
        <rFont val="Calibri"/>
        <family val="2"/>
        <scheme val="minor"/>
      </rPr>
      <t xml:space="preserve">Il présente les facteurs d'émission provenant du </t>
    </r>
    <r>
      <rPr>
        <i/>
        <sz val="11"/>
        <color theme="1"/>
        <rFont val="Calibri"/>
        <family val="2"/>
        <scheme val="minor"/>
      </rPr>
      <t>Rapport d'inventaire national 1990-2020: Sources et puits de gaz à effet de serre au Canada d'Environnement et Changement climatique Canada, soit les facteurs d'émission canadiens en vigueur en 2022.</t>
    </r>
    <r>
      <rPr>
        <sz val="11"/>
        <color theme="1"/>
        <rFont val="Calibri"/>
        <family val="2"/>
        <scheme val="minor"/>
      </rPr>
      <t xml:space="preserve"> </t>
    </r>
    <r>
      <rPr>
        <i/>
        <sz val="11"/>
        <color theme="1"/>
        <rFont val="Calibri"/>
        <family val="2"/>
        <scheme val="minor"/>
      </rPr>
      <t xml:space="preserve">
</t>
    </r>
    <r>
      <rPr>
        <sz val="11"/>
        <color theme="1"/>
        <rFont val="Calibri"/>
        <family val="2"/>
        <scheme val="minor"/>
      </rPr>
      <t xml:space="preserve">
Un onglet est dédié aux </t>
    </r>
    <r>
      <rPr>
        <i/>
        <sz val="11"/>
        <color theme="1"/>
        <rFont val="Calibri"/>
        <family val="2"/>
        <scheme val="minor"/>
      </rPr>
      <t xml:space="preserve">potentiels de réchauffement global (PRG). </t>
    </r>
    <r>
      <rPr>
        <sz val="11"/>
        <color theme="1"/>
        <rFont val="Calibri"/>
        <family val="2"/>
        <scheme val="minor"/>
      </rPr>
      <t>Les potentiels de réchauffement global sont issus du 5</t>
    </r>
    <r>
      <rPr>
        <vertAlign val="superscript"/>
        <sz val="11"/>
        <color theme="1"/>
        <rFont val="Calibri"/>
        <family val="2"/>
        <scheme val="minor"/>
      </rPr>
      <t xml:space="preserve">e </t>
    </r>
    <r>
      <rPr>
        <sz val="11"/>
        <color theme="1"/>
        <rFont val="Calibri"/>
        <family val="2"/>
        <scheme val="minor"/>
      </rPr>
      <t>rapport du GIEC.</t>
    </r>
    <r>
      <rPr>
        <i/>
        <sz val="11"/>
        <color theme="1"/>
        <rFont val="Calibri"/>
        <family val="2"/>
        <scheme val="minor"/>
      </rPr>
      <t xml:space="preserve">
</t>
    </r>
    <r>
      <rPr>
        <sz val="11"/>
        <color theme="1"/>
        <rFont val="Calibri"/>
        <family val="2"/>
        <scheme val="minor"/>
      </rPr>
      <t xml:space="preserve">
Un onglet intitulé</t>
    </r>
    <r>
      <rPr>
        <i/>
        <sz val="11"/>
        <color theme="1"/>
        <rFont val="Calibri"/>
        <family val="2"/>
        <scheme val="minor"/>
      </rPr>
      <t xml:space="preserve"> Données</t>
    </r>
    <r>
      <rPr>
        <sz val="11"/>
        <color theme="1"/>
        <rFont val="Calibri"/>
        <family val="2"/>
        <scheme val="minor"/>
      </rPr>
      <t xml:space="preserve"> </t>
    </r>
    <r>
      <rPr>
        <i/>
        <sz val="11"/>
        <color theme="1"/>
        <rFont val="Calibri"/>
        <family val="2"/>
        <scheme val="minor"/>
      </rPr>
      <t xml:space="preserve">traite les données brutes qui serviront au calcul des émissions de GES issues des activités de la municipalité </t>
    </r>
    <r>
      <rPr>
        <i/>
        <sz val="11"/>
        <color rgb="FFFF0000"/>
        <rFont val="Calibri"/>
        <family val="2"/>
        <scheme val="minor"/>
      </rPr>
      <t>XXXXX</t>
    </r>
    <r>
      <rPr>
        <i/>
        <sz val="11"/>
        <color theme="1"/>
        <rFont val="Calibri"/>
        <family val="2"/>
        <scheme val="minor"/>
      </rPr>
      <t>. Dans cet onglet la provenance des données est indiquée.</t>
    </r>
    <r>
      <rPr>
        <sz val="11"/>
        <color theme="1"/>
        <rFont val="Calibri"/>
        <family val="2"/>
        <scheme val="minor"/>
      </rPr>
      <t xml:space="preserve">
</t>
    </r>
  </si>
  <si>
    <r>
      <t xml:space="preserve">A) Le recensement canadien de la population dénote </t>
    </r>
    <r>
      <rPr>
        <sz val="11"/>
        <color rgb="FFFF0000"/>
        <rFont val="Calibri"/>
        <family val="2"/>
        <scheme val="minor"/>
      </rPr>
      <t>XX</t>
    </r>
    <r>
      <rPr>
        <sz val="11"/>
        <color theme="1"/>
        <rFont val="Calibri"/>
        <family val="2"/>
        <scheme val="minor"/>
      </rPr>
      <t xml:space="preserve">  logements privés dans la</t>
    </r>
    <r>
      <rPr>
        <sz val="11"/>
        <color rgb="FFFF0000"/>
        <rFont val="Calibri"/>
        <family val="2"/>
        <scheme val="minor"/>
      </rPr>
      <t xml:space="preserve"> XXX </t>
    </r>
    <r>
      <rPr>
        <sz val="11"/>
        <color theme="1"/>
        <rFont val="Calibri"/>
        <family val="2"/>
        <scheme val="minor"/>
      </rPr>
      <t xml:space="preserve">en </t>
    </r>
    <r>
      <rPr>
        <sz val="11"/>
        <color rgb="FFFF0000"/>
        <rFont val="Calibri"/>
        <family val="2"/>
        <scheme val="minor"/>
      </rPr>
      <t>XXXX</t>
    </r>
    <r>
      <rPr>
        <sz val="11"/>
        <color theme="1"/>
        <rFont val="Calibri"/>
        <family val="2"/>
        <scheme val="minor"/>
      </rPr>
      <t xml:space="preserve">
(</t>
    </r>
    <r>
      <rPr>
        <sz val="11"/>
        <color rgb="FFFF0000"/>
        <rFont val="Calibri"/>
        <family val="2"/>
        <scheme val="minor"/>
      </rPr>
      <t>statistique Canada, 2023)</t>
    </r>
  </si>
  <si>
    <r>
      <t>B) Selon Énergir, les résidences de la municipalité</t>
    </r>
    <r>
      <rPr>
        <sz val="11"/>
        <color rgb="FFFF0000"/>
        <rFont val="Calibri"/>
        <family val="2"/>
        <scheme val="minor"/>
      </rPr>
      <t xml:space="preserve"> XXX n'utilisent pas de gaz naturel</t>
    </r>
    <r>
      <rPr>
        <sz val="11"/>
        <color theme="1"/>
        <rFont val="Calibri"/>
        <family val="2"/>
        <scheme val="minor"/>
      </rPr>
      <t xml:space="preserve">. Nous émettons l'hypothèse que le pourcentage habituellement octroyé au gaz naturel </t>
    </r>
    <r>
      <rPr>
        <sz val="11"/>
        <color rgb="FFFF0000"/>
        <rFont val="Calibri"/>
        <family val="2"/>
        <scheme val="minor"/>
      </rPr>
      <t>est réparti proportionnellement autres sources d'énergie secondaires.</t>
    </r>
  </si>
  <si>
    <r>
      <t xml:space="preserve">% énergie secondaire pour le secteur résidentiel à </t>
    </r>
    <r>
      <rPr>
        <sz val="11"/>
        <color rgb="FFFF0000"/>
        <rFont val="Calibri"/>
        <family val="2"/>
        <scheme val="minor"/>
      </rPr>
      <t>XXX</t>
    </r>
  </si>
  <si>
    <r>
      <t xml:space="preserve">Total d'énergie à </t>
    </r>
    <r>
      <rPr>
        <sz val="11"/>
        <color rgb="FFFF0000"/>
        <rFont val="Calibri"/>
        <family val="2"/>
        <scheme val="minor"/>
      </rPr>
      <t>XXX</t>
    </r>
    <r>
      <rPr>
        <sz val="11"/>
        <color theme="1"/>
        <rFont val="Calibri"/>
        <family val="2"/>
        <scheme val="minor"/>
      </rPr>
      <t xml:space="preserve">
 (PJ)</t>
    </r>
  </si>
  <si>
    <r>
      <t xml:space="preserve">2) Hypothèse pour la municipalité </t>
    </r>
    <r>
      <rPr>
        <b/>
        <sz val="14"/>
        <color rgb="FFFF0000"/>
        <rFont val="Calibri"/>
        <family val="2"/>
        <scheme val="minor"/>
      </rPr>
      <t>XXX</t>
    </r>
  </si>
  <si>
    <r>
      <t xml:space="preserve">Consommation totale  d'énergie dans le secteur résidentiel dans la municipalité </t>
    </r>
    <r>
      <rPr>
        <sz val="11"/>
        <color rgb="FFFF0000"/>
        <rFont val="Calibri"/>
        <family val="2"/>
        <scheme val="minor"/>
      </rPr>
      <t>XXXX</t>
    </r>
  </si>
  <si>
    <r>
      <t xml:space="preserve">3) Calculs pour la municipalité </t>
    </r>
    <r>
      <rPr>
        <b/>
        <sz val="14"/>
        <color rgb="FFFF0000"/>
        <rFont val="Calibri"/>
        <family val="2"/>
        <scheme val="minor"/>
      </rPr>
      <t>XXXX</t>
    </r>
  </si>
  <si>
    <r>
      <rPr>
        <b/>
        <sz val="11"/>
        <color theme="1"/>
        <rFont val="Calibri"/>
        <family val="2"/>
        <scheme val="minor"/>
      </rPr>
      <t xml:space="preserve">1) Bois de chauffage: </t>
    </r>
    <r>
      <rPr>
        <sz val="11"/>
        <color theme="1"/>
        <rFont val="Calibri"/>
        <family val="2"/>
        <scheme val="minor"/>
      </rPr>
      <t xml:space="preserve">
Selon Hydro-Québec, le bois de chauffage résidentiel au Québec représente 2771850 tms/an ou  2771850000 kg sèche et offre une énergie s'élevant à 52 Pj par an.   (Hydro-Québec, 2021)
Dans le cas qui nous intéresse nous avons donc besoin de </t>
    </r>
    <r>
      <rPr>
        <sz val="11"/>
        <color rgb="FFFF0000"/>
        <rFont val="Calibri"/>
        <family val="2"/>
        <scheme val="minor"/>
      </rPr>
      <t>XXX</t>
    </r>
    <r>
      <rPr>
        <sz val="11"/>
        <color theme="1"/>
        <rFont val="Calibri"/>
        <family val="2"/>
        <scheme val="minor"/>
      </rPr>
      <t xml:space="preserve"> kg de bois pour atteindre une énergie s'élevant à </t>
    </r>
    <r>
      <rPr>
        <sz val="11"/>
        <color rgb="FFFF0000"/>
        <rFont val="Calibri"/>
        <family val="2"/>
        <scheme val="minor"/>
      </rPr>
      <t>XXX</t>
    </r>
    <r>
      <rPr>
        <sz val="11"/>
        <color theme="1"/>
        <rFont val="Calibri"/>
        <family val="2"/>
        <scheme val="minor"/>
      </rPr>
      <t xml:space="preserve"> Pj.</t>
    </r>
  </si>
  <si>
    <r>
      <rPr>
        <b/>
        <sz val="11"/>
        <color theme="1"/>
        <rFont val="Calibri"/>
        <family val="2"/>
        <scheme val="minor"/>
      </rPr>
      <t>2) Mazout:</t>
    </r>
    <r>
      <rPr>
        <sz val="11"/>
        <color theme="1"/>
        <rFont val="Calibri"/>
        <family val="2"/>
        <scheme val="minor"/>
      </rPr>
      <t xml:space="preserve">
Selon la régie de l'énergie du Canada, 1 m</t>
    </r>
    <r>
      <rPr>
        <vertAlign val="superscript"/>
        <sz val="11"/>
        <color theme="1"/>
        <rFont val="Calibri"/>
        <family val="2"/>
        <scheme val="minor"/>
      </rPr>
      <t xml:space="preserve">3 </t>
    </r>
    <r>
      <rPr>
        <sz val="11"/>
        <color theme="1"/>
        <rFont val="Calibri"/>
        <family val="2"/>
        <scheme val="minor"/>
      </rPr>
      <t>de Mazout donne 36,72 Gj d'énergie ou 0,00003672 Pj d'énergie. 
Où 1 m</t>
    </r>
    <r>
      <rPr>
        <vertAlign val="superscript"/>
        <sz val="11"/>
        <color theme="1"/>
        <rFont val="Calibri"/>
        <family val="2"/>
        <scheme val="minor"/>
      </rPr>
      <t>3</t>
    </r>
    <r>
      <rPr>
        <sz val="11"/>
        <color theme="1"/>
        <rFont val="Calibri"/>
        <family val="2"/>
        <scheme val="minor"/>
      </rPr>
      <t xml:space="preserve"> = 1000L. Donc dans le cas qui nous intéresse, pour obtenir </t>
    </r>
    <r>
      <rPr>
        <sz val="11"/>
        <color rgb="FFFF0000"/>
        <rFont val="Calibri"/>
        <family val="2"/>
        <scheme val="minor"/>
      </rPr>
      <t xml:space="preserve">XXXX </t>
    </r>
    <r>
      <rPr>
        <sz val="11"/>
        <color theme="1"/>
        <rFont val="Calibri"/>
        <family val="2"/>
        <scheme val="minor"/>
      </rPr>
      <t xml:space="preserve">Pj d'énergie, nous devons utiliser </t>
    </r>
    <r>
      <rPr>
        <sz val="11"/>
        <color rgb="FFFF0000"/>
        <rFont val="Calibri"/>
        <family val="2"/>
        <scheme val="minor"/>
      </rPr>
      <t xml:space="preserve">XXX </t>
    </r>
    <r>
      <rPr>
        <sz val="11"/>
        <color theme="1"/>
        <rFont val="Calibri"/>
        <family val="2"/>
        <scheme val="minor"/>
      </rPr>
      <t>L de Mazout.
(Régie de l'énergie du Canada, 2023)</t>
    </r>
  </si>
  <si>
    <r>
      <rPr>
        <b/>
        <sz val="11"/>
        <color theme="1"/>
        <rFont val="Calibri"/>
        <family val="2"/>
        <scheme val="minor"/>
      </rPr>
      <t xml:space="preserve">3) Autre (Le propane)
</t>
    </r>
    <r>
      <rPr>
        <sz val="11"/>
        <color theme="1"/>
        <rFont val="Calibri"/>
        <family val="2"/>
        <scheme val="minor"/>
      </rPr>
      <t xml:space="preserve">Selon la régie de l'énergie du Canada, 1 m3 de propane donne 25,53 Gj d'énergie ou 0,00002553 Pj d'énergie
Où 1 m3 = 1000L. Donc dans le cas qui nous intéresse, pour obtenir </t>
    </r>
    <r>
      <rPr>
        <sz val="11"/>
        <color rgb="FFFF0000"/>
        <rFont val="Calibri"/>
        <family val="2"/>
        <scheme val="minor"/>
      </rPr>
      <t>XXXX</t>
    </r>
    <r>
      <rPr>
        <sz val="11"/>
        <color theme="1"/>
        <rFont val="Calibri"/>
        <family val="2"/>
        <scheme val="minor"/>
      </rPr>
      <t xml:space="preserve"> Pj d'énergie, nous devons utiliser </t>
    </r>
    <r>
      <rPr>
        <sz val="11"/>
        <color rgb="FFFF0000"/>
        <rFont val="Calibri"/>
        <family val="2"/>
        <scheme val="minor"/>
      </rPr>
      <t>XXXXX</t>
    </r>
    <r>
      <rPr>
        <sz val="11"/>
        <color theme="1"/>
        <rFont val="Calibri"/>
        <family val="2"/>
        <scheme val="minor"/>
      </rPr>
      <t xml:space="preserve"> L de propane.
(Régie de l'énergie du Canada, 2023)</t>
    </r>
  </si>
  <si>
    <r>
      <t xml:space="preserve">2) Hypothèse pour la municipalité </t>
    </r>
    <r>
      <rPr>
        <b/>
        <sz val="14"/>
        <color rgb="FFFF0000"/>
        <rFont val="Calibri"/>
        <family val="2"/>
        <scheme val="minor"/>
      </rPr>
      <t>XXXX</t>
    </r>
  </si>
  <si>
    <r>
      <t>A) Selon Énergir,XXXX commerces  et institutions de la municipalité</t>
    </r>
    <r>
      <rPr>
        <sz val="12"/>
        <color rgb="FFFF0000"/>
        <rFont val="Calibri"/>
        <family val="2"/>
        <scheme val="minor"/>
      </rPr>
      <t xml:space="preserve"> XXX </t>
    </r>
    <r>
      <rPr>
        <sz val="12"/>
        <color theme="1"/>
        <rFont val="Calibri"/>
        <family val="2"/>
        <scheme val="minor"/>
      </rPr>
      <t xml:space="preserve">utilise le gaz naturel. Nous émettons </t>
    </r>
    <r>
      <rPr>
        <sz val="12"/>
        <color rgb="FFFF0000"/>
        <rFont val="Calibri"/>
        <family val="2"/>
        <scheme val="minor"/>
      </rPr>
      <t>l'hypothèse que le pourcentage habituellement octroyé au gaz naturel au Québec est inférieur pour la municipalité de XXXX et que la totalité des surplus est attribuée à l'électricité</t>
    </r>
    <r>
      <rPr>
        <sz val="12"/>
        <color theme="1"/>
        <rFont val="Calibri"/>
        <family val="2"/>
        <scheme val="minor"/>
      </rPr>
      <t>. Donc</t>
    </r>
    <r>
      <rPr>
        <sz val="12"/>
        <color rgb="FFFF0000"/>
        <rFont val="Calibri"/>
        <family val="2"/>
        <scheme val="minor"/>
      </rPr>
      <t xml:space="preserve"> XXX</t>
    </r>
    <r>
      <rPr>
        <sz val="12"/>
        <color theme="1"/>
        <rFont val="Calibri"/>
        <family val="2"/>
        <scheme val="minor"/>
      </rPr>
      <t xml:space="preserve"> % de la consommation totale d'énergie =</t>
    </r>
    <r>
      <rPr>
        <sz val="12"/>
        <color rgb="FFFF0000"/>
        <rFont val="Calibri"/>
        <family val="2"/>
        <scheme val="minor"/>
      </rPr>
      <t xml:space="preserve"> XXXX</t>
    </r>
    <r>
      <rPr>
        <sz val="12"/>
        <color theme="1"/>
        <rFont val="Calibri"/>
        <family val="2"/>
        <scheme val="minor"/>
      </rPr>
      <t xml:space="preserve"> Pj, donc 100% de la consommation équivaut à </t>
    </r>
    <r>
      <rPr>
        <sz val="12"/>
        <color rgb="FFFF0000"/>
        <rFont val="Calibri"/>
        <family val="2"/>
        <scheme val="minor"/>
      </rPr>
      <t xml:space="preserve">XXXXX </t>
    </r>
    <r>
      <rPr>
        <sz val="12"/>
        <color theme="1"/>
        <rFont val="Calibri"/>
        <family val="2"/>
        <scheme val="minor"/>
      </rPr>
      <t>Pj.</t>
    </r>
  </si>
  <si>
    <t>b) Selon Ressources naturelles Canada, la conversion de kWh en joules selon ressources naturelles Canada = 1 Wh =3600 joules donc 1Kwh = 0,0000000036 pj
(Ressources naturelles du Canada,2023 )</t>
  </si>
  <si>
    <r>
      <t>Consommation totale  d'énergie dans le secteur résidentiel dans la municipalité de</t>
    </r>
    <r>
      <rPr>
        <sz val="11"/>
        <color rgb="FFFF0000"/>
        <rFont val="Calibri"/>
        <family val="2"/>
        <scheme val="minor"/>
      </rPr>
      <t xml:space="preserve"> XXX</t>
    </r>
  </si>
  <si>
    <r>
      <t xml:space="preserve">c) Selon Hydro-Québec, le secteur commercial et institutionnel de la municipalité </t>
    </r>
    <r>
      <rPr>
        <sz val="11"/>
        <color rgb="FFFF0000"/>
        <rFont val="Calibri"/>
        <family val="2"/>
        <scheme val="minor"/>
      </rPr>
      <t>XXX</t>
    </r>
    <r>
      <rPr>
        <sz val="11"/>
        <color theme="1"/>
        <rFont val="Calibri"/>
        <family val="2"/>
        <scheme val="minor"/>
      </rPr>
      <t xml:space="preserve"> présente</t>
    </r>
    <r>
      <rPr>
        <sz val="11"/>
        <color rgb="FFFF0000"/>
        <rFont val="Calibri"/>
        <family val="2"/>
        <scheme val="minor"/>
      </rPr>
      <t xml:space="preserve"> XXX</t>
    </r>
    <r>
      <rPr>
        <sz val="11"/>
        <color theme="1"/>
        <rFont val="Calibri"/>
        <family val="2"/>
        <scheme val="minor"/>
      </rPr>
      <t xml:space="preserve"> kWh.
d) Le nombre de pj d'électricité pour la municipalité </t>
    </r>
    <r>
      <rPr>
        <sz val="11"/>
        <color rgb="FFFF0000"/>
        <rFont val="Calibri"/>
        <family val="2"/>
        <scheme val="minor"/>
      </rPr>
      <t>XXX</t>
    </r>
    <r>
      <rPr>
        <sz val="11"/>
        <color theme="1"/>
        <rFont val="Calibri"/>
        <family val="2"/>
        <scheme val="minor"/>
      </rPr>
      <t xml:space="preserve"> s'élève à 0,0000000036*</t>
    </r>
    <r>
      <rPr>
        <sz val="11"/>
        <color rgb="FFFF0000"/>
        <rFont val="Calibri"/>
        <family val="2"/>
        <scheme val="minor"/>
      </rPr>
      <t>XXX</t>
    </r>
    <r>
      <rPr>
        <sz val="11"/>
        <color theme="1"/>
        <rFont val="Calibri"/>
        <family val="2"/>
        <scheme val="minor"/>
      </rPr>
      <t xml:space="preserve"> = </t>
    </r>
    <r>
      <rPr>
        <sz val="11"/>
        <color rgb="FFFF0000"/>
        <rFont val="Calibri"/>
        <family val="2"/>
        <scheme val="minor"/>
      </rPr>
      <t>XXX</t>
    </r>
    <r>
      <rPr>
        <sz val="11"/>
        <color theme="1"/>
        <rFont val="Calibri"/>
        <family val="2"/>
        <scheme val="minor"/>
      </rPr>
      <t xml:space="preserve"> pj
e) Selon la régie de l'énergie, 1 m3 de gaz naturel équivaut à 0,0373 Gj ou 0,0000000373 Pj
(Régie de l'énergie du Canada, 2023)</t>
    </r>
  </si>
  <si>
    <r>
      <t xml:space="preserve">f) Selon Énergir, le volume de gaz naturel consommé par leur client s'élève à </t>
    </r>
    <r>
      <rPr>
        <sz val="11"/>
        <color rgb="FFFF0000"/>
        <rFont val="Calibri"/>
        <family val="2"/>
        <scheme val="minor"/>
      </rPr>
      <t xml:space="preserve">XXX </t>
    </r>
    <r>
      <rPr>
        <sz val="11"/>
        <color theme="1"/>
        <rFont val="Calibri"/>
        <family val="2"/>
        <scheme val="minor"/>
      </rPr>
      <t>m</t>
    </r>
    <r>
      <rPr>
        <vertAlign val="superscript"/>
        <sz val="11"/>
        <color theme="1"/>
        <rFont val="Calibri"/>
        <family val="2"/>
        <scheme val="minor"/>
      </rPr>
      <t xml:space="preserve">3 </t>
    </r>
    <r>
      <rPr>
        <sz val="11"/>
        <color theme="1"/>
        <rFont val="Calibri"/>
        <family val="2"/>
        <scheme val="minor"/>
      </rPr>
      <t xml:space="preserve"> </t>
    </r>
  </si>
  <si>
    <r>
      <t>g) Le nombre de Pj de gaz naturel pour la municipalité s'élève à 0,0000000373*</t>
    </r>
    <r>
      <rPr>
        <sz val="11"/>
        <color rgb="FFFF0000"/>
        <rFont val="Calibri"/>
        <family val="2"/>
        <scheme val="minor"/>
      </rPr>
      <t>XXX</t>
    </r>
    <r>
      <rPr>
        <sz val="11"/>
        <color theme="1"/>
        <rFont val="Calibri"/>
        <family val="2"/>
        <scheme val="minor"/>
      </rPr>
      <t xml:space="preserve">= </t>
    </r>
    <r>
      <rPr>
        <sz val="11"/>
        <color rgb="FFFF0000"/>
        <rFont val="Calibri"/>
        <family val="2"/>
        <scheme val="minor"/>
      </rPr>
      <t>XXXX</t>
    </r>
    <r>
      <rPr>
        <sz val="11"/>
        <color theme="1"/>
        <rFont val="Calibri"/>
        <family val="2"/>
        <scheme val="minor"/>
      </rPr>
      <t xml:space="preserve"> m</t>
    </r>
    <r>
      <rPr>
        <vertAlign val="superscript"/>
        <sz val="11"/>
        <color theme="1"/>
        <rFont val="Calibri"/>
        <family val="2"/>
        <scheme val="minor"/>
      </rPr>
      <t>3</t>
    </r>
  </si>
  <si>
    <r>
      <t>h) Puisque les clients d'Énergir représentent seulement</t>
    </r>
    <r>
      <rPr>
        <sz val="12"/>
        <color rgb="FFFF0000"/>
        <rFont val="Calibri"/>
        <family val="2"/>
        <scheme val="minor"/>
      </rPr>
      <t xml:space="preserve"> XXX</t>
    </r>
    <r>
      <rPr>
        <sz val="12"/>
        <color theme="1"/>
        <rFont val="Calibri"/>
        <family val="2"/>
        <scheme val="minor"/>
      </rPr>
      <t xml:space="preserve">% du territoire de la municipalité </t>
    </r>
    <r>
      <rPr>
        <sz val="12"/>
        <color rgb="FFFF0000"/>
        <rFont val="Calibri"/>
        <family val="2"/>
        <scheme val="minor"/>
      </rPr>
      <t>XXX</t>
    </r>
    <r>
      <rPr>
        <sz val="12"/>
        <color theme="1"/>
        <rFont val="Calibri"/>
        <family val="2"/>
        <scheme val="minor"/>
      </rPr>
      <t xml:space="preserve">, nous émettons l'hypothèse que le % de gaz naturel sera plus bas à </t>
    </r>
    <r>
      <rPr>
        <sz val="12"/>
        <color rgb="FFFF0000"/>
        <rFont val="Calibri"/>
        <family val="2"/>
        <scheme val="minor"/>
      </rPr>
      <t>XXX</t>
    </r>
    <r>
      <rPr>
        <sz val="12"/>
        <color theme="1"/>
        <rFont val="Calibri"/>
        <family val="2"/>
        <scheme val="minor"/>
      </rPr>
      <t xml:space="preserve"> que dans le reste de la province. Nous émettons l'hypothèse que le gaz naturel a été remplacé entièrement par de l'hydroélectricité, car il n'y a pas d'industrie dans la région et les commerces présents sont liés au secteur du tourisme et de la restauration qui utilise peu d'énergie fossile.</t>
    </r>
  </si>
  <si>
    <r>
      <t xml:space="preserve">3) Calculs pour la municipalité de </t>
    </r>
    <r>
      <rPr>
        <b/>
        <sz val="14"/>
        <color rgb="FFFF0000"/>
        <rFont val="Calibri"/>
        <family val="2"/>
        <scheme val="minor"/>
      </rPr>
      <t>XXX</t>
    </r>
  </si>
  <si>
    <r>
      <rPr>
        <b/>
        <sz val="11"/>
        <color theme="1"/>
        <rFont val="Calibri"/>
        <family val="2"/>
        <scheme val="minor"/>
      </rPr>
      <t>1) Mazout Léger:</t>
    </r>
    <r>
      <rPr>
        <sz val="11"/>
        <color theme="1"/>
        <rFont val="Calibri"/>
        <family val="2"/>
        <scheme val="minor"/>
      </rPr>
      <t xml:space="preserve">
Selon la régie de l'énergie du Canada, 1 m</t>
    </r>
    <r>
      <rPr>
        <vertAlign val="superscript"/>
        <sz val="11"/>
        <color theme="1"/>
        <rFont val="Calibri"/>
        <family val="2"/>
        <scheme val="minor"/>
      </rPr>
      <t xml:space="preserve">3 </t>
    </r>
    <r>
      <rPr>
        <sz val="11"/>
        <color theme="1"/>
        <rFont val="Calibri"/>
        <family val="2"/>
        <scheme val="minor"/>
      </rPr>
      <t>de Mazout donne 36,72 Gj d'énergie ou 0,00003672 Pj d'énergie. 
Où 1 m</t>
    </r>
    <r>
      <rPr>
        <vertAlign val="superscript"/>
        <sz val="11"/>
        <color theme="1"/>
        <rFont val="Calibri"/>
        <family val="2"/>
        <scheme val="minor"/>
      </rPr>
      <t>3</t>
    </r>
    <r>
      <rPr>
        <sz val="11"/>
        <color theme="1"/>
        <rFont val="Calibri"/>
        <family val="2"/>
        <scheme val="minor"/>
      </rPr>
      <t xml:space="preserve"> = 1000L. Donc dans le cas qui nous intéresse, pour obtenir </t>
    </r>
    <r>
      <rPr>
        <sz val="11"/>
        <color rgb="FFFF0000"/>
        <rFont val="Calibri"/>
        <family val="2"/>
        <scheme val="minor"/>
      </rPr>
      <t>XXXX</t>
    </r>
    <r>
      <rPr>
        <sz val="11"/>
        <color theme="1"/>
        <rFont val="Calibri"/>
        <family val="2"/>
        <scheme val="minor"/>
      </rPr>
      <t xml:space="preserve"> Pj d'énergie, nous devons utiliser </t>
    </r>
    <r>
      <rPr>
        <sz val="11"/>
        <color rgb="FFFF0000"/>
        <rFont val="Calibri"/>
        <family val="2"/>
        <scheme val="minor"/>
      </rPr>
      <t xml:space="preserve">XXXX </t>
    </r>
    <r>
      <rPr>
        <sz val="11"/>
        <color theme="1"/>
        <rFont val="Calibri"/>
        <family val="2"/>
        <scheme val="minor"/>
      </rPr>
      <t>L de Mazout léger.
(Régie de l'énergie du Canada. 2023)</t>
    </r>
  </si>
  <si>
    <r>
      <t>Selon la régie de l'énergie du Canada 1m</t>
    </r>
    <r>
      <rPr>
        <vertAlign val="superscript"/>
        <sz val="11"/>
        <color theme="1"/>
        <rFont val="Calibri"/>
        <family val="2"/>
        <scheme val="minor"/>
      </rPr>
      <t>3</t>
    </r>
    <r>
      <rPr>
        <sz val="11"/>
        <color theme="1"/>
        <rFont val="Calibri"/>
        <family val="2"/>
        <scheme val="minor"/>
      </rPr>
      <t xml:space="preserve"> de mazout léger donne 41,73 Gj d'énergie ou 0,00004179 Pj d'énergie. Donc dans le cas qui nous intéresse nous avons (</t>
    </r>
    <r>
      <rPr>
        <sz val="11"/>
        <color rgb="FFFF0000"/>
        <rFont val="Calibri"/>
        <family val="2"/>
        <scheme val="minor"/>
      </rPr>
      <t>XXX</t>
    </r>
    <r>
      <rPr>
        <sz val="11"/>
        <color theme="1"/>
        <rFont val="Calibri"/>
        <family val="2"/>
        <scheme val="minor"/>
      </rPr>
      <t xml:space="preserve"> Pj de Mazout X 1000L )/0,00004179 PJ = </t>
    </r>
    <r>
      <rPr>
        <sz val="11"/>
        <color rgb="FFFF0000"/>
        <rFont val="Calibri"/>
        <family val="2"/>
        <scheme val="minor"/>
      </rPr>
      <t>XXXX</t>
    </r>
    <r>
      <rPr>
        <sz val="11"/>
        <color theme="1"/>
        <rFont val="Calibri"/>
        <family val="2"/>
        <scheme val="minor"/>
      </rPr>
      <t xml:space="preserve"> L de Mazout lourd  (Régie de l'énergie du Canada.2023)</t>
    </r>
  </si>
  <si>
    <r>
      <rPr>
        <b/>
        <sz val="11"/>
        <color theme="1"/>
        <rFont val="Calibri"/>
        <family val="2"/>
        <scheme val="minor"/>
      </rPr>
      <t xml:space="preserve">3) Autre (Le propane)
</t>
    </r>
    <r>
      <rPr>
        <sz val="11"/>
        <color theme="1"/>
        <rFont val="Calibri"/>
        <family val="2"/>
        <scheme val="minor"/>
      </rPr>
      <t>Selon la régie de l'énergie du Canada, 1 m</t>
    </r>
    <r>
      <rPr>
        <vertAlign val="superscript"/>
        <sz val="11"/>
        <color theme="1"/>
        <rFont val="Calibri"/>
        <family val="2"/>
        <scheme val="minor"/>
      </rPr>
      <t>3</t>
    </r>
    <r>
      <rPr>
        <sz val="11"/>
        <color theme="1"/>
        <rFont val="Calibri"/>
        <family val="2"/>
        <scheme val="minor"/>
      </rPr>
      <t xml:space="preserve"> de propane donne 25,53 Gj d'énergie ou 0,00002553 Pj d'énergie
Où 1 m3 = 1000L. Donc dans le cas qui nous intéresse, pour obtenir </t>
    </r>
    <r>
      <rPr>
        <sz val="11"/>
        <color rgb="FFFF0000"/>
        <rFont val="Calibri"/>
        <family val="2"/>
        <scheme val="minor"/>
      </rPr>
      <t>XXX</t>
    </r>
    <r>
      <rPr>
        <sz val="11"/>
        <color theme="1"/>
        <rFont val="Calibri"/>
        <family val="2"/>
        <scheme val="minor"/>
      </rPr>
      <t xml:space="preserve"> Pj d'énergie, nous devons utiliser </t>
    </r>
    <r>
      <rPr>
        <sz val="11"/>
        <color rgb="FFFF0000"/>
        <rFont val="Calibri"/>
        <family val="2"/>
        <scheme val="minor"/>
      </rPr>
      <t>XXX</t>
    </r>
    <r>
      <rPr>
        <sz val="11"/>
        <color theme="1"/>
        <rFont val="Calibri"/>
        <family val="2"/>
        <scheme val="minor"/>
      </rPr>
      <t xml:space="preserve"> L de propane.
(Régie de l'énergie, 2023)</t>
    </r>
  </si>
  <si>
    <r>
      <t xml:space="preserve">1) La MRC de </t>
    </r>
    <r>
      <rPr>
        <sz val="11"/>
        <color rgb="FFFF0000"/>
        <rFont val="Calibri"/>
        <family val="2"/>
        <scheme val="minor"/>
      </rPr>
      <t>XXX</t>
    </r>
    <r>
      <rPr>
        <sz val="11"/>
        <color theme="1"/>
        <rFont val="Calibri"/>
        <family val="2"/>
        <scheme val="minor"/>
      </rPr>
      <t xml:space="preserve"> est composée de </t>
    </r>
    <r>
      <rPr>
        <sz val="11"/>
        <color rgb="FFFF0000"/>
        <rFont val="Calibri"/>
        <family val="2"/>
        <scheme val="minor"/>
      </rPr>
      <t>XX</t>
    </r>
    <r>
      <rPr>
        <sz val="11"/>
        <color theme="1"/>
        <rFont val="Calibri"/>
        <family val="2"/>
        <scheme val="minor"/>
      </rPr>
      <t xml:space="preserve"> municipalités représentant </t>
    </r>
    <r>
      <rPr>
        <sz val="11"/>
        <color rgb="FFFF0000"/>
        <rFont val="Calibri"/>
        <family val="2"/>
        <scheme val="minor"/>
      </rPr>
      <t>XXX</t>
    </r>
    <r>
      <rPr>
        <sz val="11"/>
        <color theme="1"/>
        <rFont val="Calibri"/>
        <family val="2"/>
        <scheme val="minor"/>
      </rPr>
      <t xml:space="preserve"> km2 de superficie terrestre . La ville de </t>
    </r>
    <r>
      <rPr>
        <sz val="11"/>
        <color rgb="FFFF0000"/>
        <rFont val="Calibri"/>
        <family val="2"/>
        <scheme val="minor"/>
      </rPr>
      <t>XXX</t>
    </r>
    <r>
      <rPr>
        <sz val="11"/>
        <color theme="1"/>
        <rFont val="Calibri"/>
        <family val="2"/>
        <scheme val="minor"/>
      </rPr>
      <t xml:space="preserve"> représente une superficie de </t>
    </r>
    <r>
      <rPr>
        <sz val="11"/>
        <color rgb="FFFF0000"/>
        <rFont val="Calibri"/>
        <family val="2"/>
        <scheme val="minor"/>
      </rPr>
      <t>XXX</t>
    </r>
    <r>
      <rPr>
        <sz val="11"/>
        <color theme="1"/>
        <rFont val="Calibri"/>
        <family val="2"/>
        <scheme val="minor"/>
      </rPr>
      <t xml:space="preserve"> Km2 et regroupe</t>
    </r>
    <r>
      <rPr>
        <sz val="11"/>
        <color rgb="FFFF0000"/>
        <rFont val="Calibri"/>
        <family val="2"/>
        <scheme val="minor"/>
      </rPr>
      <t xml:space="preserve"> XX</t>
    </r>
    <r>
      <rPr>
        <sz val="11"/>
        <color theme="1"/>
        <rFont val="Calibri"/>
        <family val="2"/>
        <scheme val="minor"/>
      </rPr>
      <t xml:space="preserve">% de la population de la MRC. </t>
    </r>
  </si>
  <si>
    <r>
      <t xml:space="preserve">3) Puisque </t>
    </r>
    <r>
      <rPr>
        <sz val="12"/>
        <color rgb="FFFF0000"/>
        <rFont val="Calibri"/>
        <family val="2"/>
        <scheme val="minor"/>
      </rPr>
      <t>XX</t>
    </r>
    <r>
      <rPr>
        <sz val="12"/>
        <color theme="1"/>
        <rFont val="Calibri"/>
        <family val="2"/>
        <scheme val="minor"/>
      </rPr>
      <t xml:space="preserve"> % de la population de la MRC, nous émettons l'hypothèse que </t>
    </r>
    <r>
      <rPr>
        <sz val="12"/>
        <color rgb="FFFF0000"/>
        <rFont val="Calibri"/>
        <family val="2"/>
        <scheme val="minor"/>
      </rPr>
      <t>XX</t>
    </r>
    <r>
      <rPr>
        <sz val="12"/>
        <color theme="1"/>
        <rFont val="Calibri"/>
        <family val="2"/>
        <scheme val="minor"/>
      </rPr>
      <t xml:space="preserve">% des déplacements de la MRC sont effectués sur le territoire de la municipalité de </t>
    </r>
    <r>
      <rPr>
        <sz val="12"/>
        <color rgb="FFFF0000"/>
        <rFont val="Calibri"/>
        <family val="2"/>
        <scheme val="minor"/>
      </rPr>
      <t>XX</t>
    </r>
    <r>
      <rPr>
        <sz val="12"/>
        <color theme="1"/>
        <rFont val="Calibri"/>
        <family val="2"/>
        <scheme val="minor"/>
      </rPr>
      <t>.</t>
    </r>
  </si>
  <si>
    <r>
      <t xml:space="preserve">4) Statistique Canada. (2023). </t>
    </r>
    <r>
      <rPr>
        <i/>
        <sz val="11"/>
        <color theme="1"/>
        <rFont val="Calibri"/>
        <family val="2"/>
        <scheme val="minor"/>
      </rPr>
      <t xml:space="preserve">Profil du recensement, Recensement de la population de 2021. </t>
    </r>
    <r>
      <rPr>
        <sz val="11"/>
        <color theme="1"/>
        <rFont val="Calibri"/>
        <family val="2"/>
        <scheme val="minor"/>
      </rPr>
      <t xml:space="preserve"> https://www12.statcan.gc.ca/census-recensement/2021/dp-pd/prof/details/page.cfm?Lang=F&amp;DGUIDlist=2021A00052445115&amp;GENDERlist=1,2,3&amp;STATISTIClist=1,4&amp;HEADERlist=0</t>
    </r>
  </si>
  <si>
    <r>
      <t>1) L'ensemble des véhicules de la municipalité de</t>
    </r>
    <r>
      <rPr>
        <sz val="11"/>
        <color rgb="FFFF0000"/>
        <rFont val="Calibri"/>
        <family val="2"/>
        <scheme val="minor"/>
      </rPr>
      <t xml:space="preserve"> XXX</t>
    </r>
    <r>
      <rPr>
        <sz val="11"/>
        <color theme="1"/>
        <rFont val="Calibri"/>
        <family val="2"/>
        <scheme val="minor"/>
      </rPr>
      <t xml:space="preserve"> ont un système de climatisation.</t>
    </r>
  </si>
  <si>
    <r>
      <t>La municipalité possède</t>
    </r>
    <r>
      <rPr>
        <sz val="11"/>
        <color rgb="FFFF0000"/>
        <rFont val="Calibri"/>
        <family val="2"/>
        <scheme val="minor"/>
      </rPr>
      <t xml:space="preserve"> XX</t>
    </r>
    <r>
      <rPr>
        <sz val="11"/>
        <color theme="1"/>
        <rFont val="Calibri"/>
        <family val="2"/>
        <scheme val="minor"/>
      </rPr>
      <t xml:space="preserve"> véhicules donc</t>
    </r>
    <r>
      <rPr>
        <sz val="11"/>
        <color rgb="FFFF0000"/>
        <rFont val="Calibri"/>
        <family val="2"/>
        <scheme val="minor"/>
      </rPr>
      <t xml:space="preserve"> XX</t>
    </r>
    <r>
      <rPr>
        <sz val="11"/>
        <color theme="1"/>
        <rFont val="Calibri"/>
        <family val="2"/>
        <scheme val="minor"/>
      </rPr>
      <t xml:space="preserve"> X 0,429 =</t>
    </r>
  </si>
  <si>
    <r>
      <t xml:space="preserve">Station d'épuration de la municipalité </t>
    </r>
    <r>
      <rPr>
        <sz val="11"/>
        <color rgb="FFFF0000"/>
        <rFont val="Calibri"/>
        <family val="2"/>
        <scheme val="minor"/>
      </rPr>
      <t>XXX</t>
    </r>
    <r>
      <rPr>
        <sz val="11"/>
        <color theme="1"/>
        <rFont val="Calibri"/>
        <family val="2"/>
        <scheme val="minor"/>
      </rPr>
      <t xml:space="preserve"> : Étangs aérés à parois verticales et filtres EAF(pv). Débit moyen : 916 m2/d</t>
    </r>
  </si>
  <si>
    <r>
      <t xml:space="preserve"> Selon les données fournies par la municipalité de </t>
    </r>
    <r>
      <rPr>
        <sz val="11"/>
        <color rgb="FFFF0000"/>
        <rFont val="Calibri"/>
        <family val="2"/>
        <scheme val="minor"/>
      </rPr>
      <t>XXX</t>
    </r>
    <r>
      <rPr>
        <sz val="11"/>
        <color theme="1"/>
        <rFont val="Calibri"/>
        <family val="2"/>
        <scheme val="minor"/>
      </rPr>
      <t xml:space="preserve">,  </t>
    </r>
    <r>
      <rPr>
        <sz val="11"/>
        <color rgb="FFFF0000"/>
        <rFont val="Calibri"/>
        <family val="2"/>
        <scheme val="minor"/>
      </rPr>
      <t>XX</t>
    </r>
    <r>
      <rPr>
        <sz val="11"/>
        <color theme="1"/>
        <rFont val="Calibri"/>
        <family val="2"/>
        <scheme val="minor"/>
      </rPr>
      <t xml:space="preserve"> unités d'habitation sont desservies par le réseau d'égout municipal.</t>
    </r>
  </si>
  <si>
    <r>
      <t xml:space="preserve">Selon les données fournies par la municipalité de </t>
    </r>
    <r>
      <rPr>
        <sz val="11"/>
        <color rgb="FFFF0000"/>
        <rFont val="Calibri"/>
        <family val="2"/>
        <scheme val="minor"/>
      </rPr>
      <t>XXX</t>
    </r>
    <r>
      <rPr>
        <sz val="11"/>
        <color theme="1"/>
        <rFont val="Calibri"/>
        <family val="2"/>
        <scheme val="minor"/>
      </rPr>
      <t xml:space="preserve">, </t>
    </r>
    <r>
      <rPr>
        <sz val="11"/>
        <color rgb="FFFF0000"/>
        <rFont val="Calibri"/>
        <family val="2"/>
        <scheme val="minor"/>
      </rPr>
      <t>XX</t>
    </r>
    <r>
      <rPr>
        <sz val="11"/>
        <color theme="1"/>
        <rFont val="Calibri"/>
        <family val="2"/>
        <scheme val="minor"/>
      </rPr>
      <t xml:space="preserve"> unités d'habitation sont desservies par une installation septique. </t>
    </r>
  </si>
  <si>
    <r>
      <t xml:space="preserve">nombre de vidanges des installations septiques : </t>
    </r>
    <r>
      <rPr>
        <sz val="11"/>
        <color rgb="FFFF0000"/>
        <rFont val="Calibri"/>
        <family val="2"/>
        <scheme val="minor"/>
      </rPr>
      <t>XX</t>
    </r>
  </si>
  <si>
    <r>
      <t xml:space="preserve">Quantité de boue: </t>
    </r>
    <r>
      <rPr>
        <sz val="11"/>
        <color rgb="FFFF0000"/>
        <rFont val="Calibri"/>
        <family val="2"/>
        <scheme val="minor"/>
      </rPr>
      <t>XX</t>
    </r>
    <r>
      <rPr>
        <sz val="11"/>
        <color theme="1"/>
        <rFont val="Calibri"/>
        <family val="2"/>
        <scheme val="minor"/>
      </rPr>
      <t xml:space="preserve"> m</t>
    </r>
    <r>
      <rPr>
        <vertAlign val="superscript"/>
        <sz val="11"/>
        <color theme="1"/>
        <rFont val="Calibri"/>
        <family val="2"/>
        <scheme val="minor"/>
      </rPr>
      <t>3</t>
    </r>
  </si>
  <si>
    <t>XX</t>
  </si>
  <si>
    <r>
      <t xml:space="preserve">Nous émettons l'hypothèse que les </t>
    </r>
    <r>
      <rPr>
        <sz val="11"/>
        <color rgb="FFFF0000"/>
        <rFont val="Calibri"/>
        <family val="2"/>
        <scheme val="minor"/>
      </rPr>
      <t xml:space="preserve">5000 </t>
    </r>
    <r>
      <rPr>
        <sz val="11"/>
        <color theme="1"/>
        <rFont val="Calibri"/>
        <family val="2"/>
        <scheme val="minor"/>
      </rPr>
      <t>habitants de la municipalité</t>
    </r>
    <r>
      <rPr>
        <sz val="11"/>
        <color rgb="FFFF0000"/>
        <rFont val="Calibri"/>
        <family val="2"/>
        <scheme val="minor"/>
      </rPr>
      <t xml:space="preserve"> XX</t>
    </r>
    <r>
      <rPr>
        <sz val="11"/>
        <color theme="1"/>
        <rFont val="Calibri"/>
        <family val="2"/>
        <scheme val="minor"/>
      </rPr>
      <t xml:space="preserve"> (Statistiques Canada, 2023), sont également répartis entre les ménages en fonction du prorata unités d'habitation.</t>
    </r>
  </si>
  <si>
    <r>
      <t xml:space="preserve">Tableau 1.4 Données estimées pour la municipalité </t>
    </r>
    <r>
      <rPr>
        <sz val="11"/>
        <color rgb="FFFF0000"/>
        <rFont val="Calibri"/>
        <family val="2"/>
        <scheme val="minor"/>
      </rPr>
      <t>XXX</t>
    </r>
  </si>
  <si>
    <r>
      <t>Tableau 1,3 Données pour le transport récoltées par Google en 2022 pour la MRC</t>
    </r>
    <r>
      <rPr>
        <sz val="11"/>
        <color rgb="FFFF0000"/>
        <rFont val="Calibri"/>
        <family val="2"/>
        <scheme val="minor"/>
      </rPr>
      <t xml:space="preserve"> XXX</t>
    </r>
  </si>
  <si>
    <r>
      <t xml:space="preserve">Tableau 1,2 Données pour le transport récoltées par Google en 2022 pour la municipalité de </t>
    </r>
    <r>
      <rPr>
        <sz val="11"/>
        <color rgb="FFFF0000"/>
        <rFont val="Calibri"/>
        <family val="2"/>
        <scheme val="minor"/>
      </rPr>
      <t>XXX</t>
    </r>
  </si>
  <si>
    <r>
      <t xml:space="preserve">Tableau 1.1 Données pour le transport récoltées par Google en 2022 pour la MRC de </t>
    </r>
    <r>
      <rPr>
        <sz val="11"/>
        <color rgb="FFFF0000"/>
        <rFont val="Calibri"/>
        <family val="2"/>
        <scheme val="minor"/>
      </rPr>
      <t>XXX</t>
    </r>
  </si>
  <si>
    <r>
      <t>Le site d'enfouissement où sont acheminées les matières résiduelles de la Municipalité de</t>
    </r>
    <r>
      <rPr>
        <sz val="11"/>
        <color rgb="FFFF0000"/>
        <rFont val="Calibri"/>
        <family val="2"/>
        <scheme val="minor"/>
      </rPr>
      <t xml:space="preserve"> XXX</t>
    </r>
    <r>
      <rPr>
        <sz val="11"/>
        <color theme="1"/>
        <rFont val="Calibri"/>
        <family val="2"/>
        <scheme val="minor"/>
      </rPr>
      <t xml:space="preserve"> est situé à Coaticook et est opéré par la Régie intermunicipale de gestion des déchets solides de la région de Coaticook. MRC Memphrémagog, 2023)</t>
    </r>
  </si>
  <si>
    <r>
      <t xml:space="preserve">Masse des déchets envoyées à l'enfouissement par la municipalité </t>
    </r>
    <r>
      <rPr>
        <sz val="11"/>
        <color rgb="FFFF0000"/>
        <rFont val="Calibri"/>
        <family val="2"/>
        <scheme val="minor"/>
      </rPr>
      <t>XXX</t>
    </r>
  </si>
  <si>
    <r>
      <t xml:space="preserve">Municipalité de </t>
    </r>
    <r>
      <rPr>
        <sz val="11"/>
        <color rgb="FFFF0000"/>
        <rFont val="Calibri"/>
        <family val="2"/>
        <scheme val="minor"/>
      </rPr>
      <t>XXX</t>
    </r>
    <r>
      <rPr>
        <sz val="11"/>
        <color theme="1"/>
        <rFont val="Calibri"/>
        <family val="2"/>
        <scheme val="minor"/>
      </rPr>
      <t xml:space="preserve"> abrite</t>
    </r>
    <r>
      <rPr>
        <sz val="11"/>
        <color rgb="FFFF0000"/>
        <rFont val="Calibri"/>
        <family val="2"/>
        <scheme val="minor"/>
      </rPr>
      <t xml:space="preserve"> XXX</t>
    </r>
    <r>
      <rPr>
        <sz val="11"/>
        <color theme="1"/>
        <rFont val="Calibri"/>
        <family val="2"/>
        <scheme val="minor"/>
      </rPr>
      <t xml:space="preserve"> habitants permanents et </t>
    </r>
    <r>
      <rPr>
        <sz val="11"/>
        <color rgb="FFFF0000"/>
        <rFont val="Calibri"/>
        <family val="2"/>
        <scheme val="minor"/>
      </rPr>
      <t xml:space="preserve">XXX </t>
    </r>
    <r>
      <rPr>
        <sz val="11"/>
        <color theme="1"/>
        <rFont val="Calibri"/>
        <family val="2"/>
        <scheme val="minor"/>
      </rPr>
      <t xml:space="preserve">habitants en ville . En 2022, la municipalité a éliminé </t>
    </r>
    <r>
      <rPr>
        <sz val="11"/>
        <color rgb="FFFF0000"/>
        <rFont val="Calibri"/>
        <family val="2"/>
        <scheme val="minor"/>
      </rPr>
      <t>XXX</t>
    </r>
    <r>
      <rPr>
        <sz val="11"/>
        <color theme="1"/>
        <rFont val="Calibri"/>
        <family val="2"/>
        <scheme val="minor"/>
      </rPr>
      <t xml:space="preserve"> tonnes de déchets par bacs et </t>
    </r>
    <r>
      <rPr>
        <sz val="11"/>
        <color rgb="FFFF0000"/>
        <rFont val="Calibri"/>
        <family val="2"/>
        <scheme val="minor"/>
      </rPr>
      <t>XXX</t>
    </r>
    <r>
      <rPr>
        <sz val="11"/>
        <color theme="1"/>
        <rFont val="Calibri"/>
        <family val="2"/>
        <scheme val="minor"/>
      </rPr>
      <t xml:space="preserve"> tonnes d'encombrants provenant de l'écocentre au site d'enfouissement de Coaticook ainsi que </t>
    </r>
    <r>
      <rPr>
        <sz val="11"/>
        <color rgb="FFFF0000"/>
        <rFont val="Calibri"/>
        <family val="2"/>
        <scheme val="minor"/>
      </rPr>
      <t>XXX</t>
    </r>
    <r>
      <rPr>
        <sz val="11"/>
        <color theme="1"/>
        <rFont val="Calibri"/>
        <family val="2"/>
        <scheme val="minor"/>
      </rPr>
      <t xml:space="preserve"> tonnes de déchets par conteneurs à Saint-Nicéphore.</t>
    </r>
  </si>
  <si>
    <r>
      <t>Masse des déchets envoyées à l'enfouissement par la municipalité</t>
    </r>
    <r>
      <rPr>
        <sz val="11"/>
        <color rgb="FFFF0000"/>
        <rFont val="Calibri"/>
        <family val="2"/>
        <scheme val="minor"/>
      </rPr>
      <t xml:space="preserve"> XXX</t>
    </r>
  </si>
  <si>
    <r>
      <t xml:space="preserve"> 2) Statistique Canada. (2023). </t>
    </r>
    <r>
      <rPr>
        <i/>
        <sz val="11"/>
        <color theme="1"/>
        <rFont val="Calibri"/>
        <family val="2"/>
        <scheme val="minor"/>
      </rPr>
      <t>Profil du recensement, Recensement de la population de 2021</t>
    </r>
    <r>
      <rPr>
        <sz val="11"/>
        <color theme="1"/>
        <rFont val="Calibri"/>
        <family val="2"/>
        <scheme val="minor"/>
      </rPr>
      <t>.  https://www12.statcan.gc.ca/census-recensement/2021/dp-pd/prof/details/page.cfm?Lang=F&amp;DGUIDlist=2021A00052445115&amp;GENDERlist=1,2,3&amp;STATISTIClist=1,4&amp;HEADERlist=0</t>
    </r>
  </si>
  <si>
    <r>
      <t xml:space="preserve"> 2) Statistique Canada. (2023). </t>
    </r>
    <r>
      <rPr>
        <i/>
        <sz val="11"/>
        <color theme="1"/>
        <rFont val="Calibri"/>
        <family val="2"/>
        <scheme val="minor"/>
      </rPr>
      <t xml:space="preserve">Profil du recensement, Recensement de la population de 2021. </t>
    </r>
    <r>
      <rPr>
        <sz val="11"/>
        <color theme="1"/>
        <rFont val="Calibri"/>
        <family val="2"/>
        <scheme val="minor"/>
      </rPr>
      <t xml:space="preserve"> https://www12.statcan.gc.ca/census-recensement/2021/dp-pd/prof/details/page.cfm?Lang=F&amp;DGUIDlist=2021A00052445115&amp;GENDERlist=1,2,3&amp;STATISTIClist=1,4&amp;HEADERlist=0</t>
    </r>
  </si>
  <si>
    <r>
      <t xml:space="preserve">Une étude du MAPAQ commandée par la MRC </t>
    </r>
    <r>
      <rPr>
        <sz val="11"/>
        <color rgb="FFFF0000"/>
        <rFont val="Calibri"/>
        <family val="2"/>
        <scheme val="minor"/>
      </rPr>
      <t>XXX e</t>
    </r>
    <r>
      <rPr>
        <sz val="11"/>
        <color theme="1"/>
        <rFont val="Calibri"/>
        <family val="2"/>
        <scheme val="minor"/>
      </rPr>
      <t xml:space="preserve">n 2014 présente que le territoire de la municipalité  </t>
    </r>
    <r>
      <rPr>
        <sz val="11"/>
        <color rgb="FFFF0000"/>
        <rFont val="Calibri"/>
        <family val="2"/>
        <scheme val="minor"/>
      </rPr>
      <t>XXX</t>
    </r>
    <r>
      <rPr>
        <sz val="11"/>
        <color theme="1"/>
        <rFont val="Calibri"/>
        <family val="2"/>
        <scheme val="minor"/>
      </rPr>
      <t xml:space="preserve"> comptait </t>
    </r>
    <r>
      <rPr>
        <sz val="11"/>
        <color rgb="FFFF0000"/>
        <rFont val="Calibri"/>
        <family val="2"/>
        <scheme val="minor"/>
      </rPr>
      <t>XXX</t>
    </r>
    <r>
      <rPr>
        <sz val="11"/>
        <color theme="1"/>
        <rFont val="Calibri"/>
        <family val="2"/>
        <scheme val="minor"/>
      </rPr>
      <t xml:space="preserve"> producteurs animal pour un total de </t>
    </r>
    <r>
      <rPr>
        <sz val="11"/>
        <color rgb="FFFF0000"/>
        <rFont val="Calibri"/>
        <family val="2"/>
        <scheme val="minor"/>
      </rPr>
      <t xml:space="preserve">XXX </t>
    </r>
    <r>
      <rPr>
        <sz val="11"/>
        <color theme="1"/>
        <rFont val="Calibri"/>
        <family val="2"/>
        <scheme val="minor"/>
      </rPr>
      <t>bovins (MRC memphrémagog, 2014).</t>
    </r>
  </si>
  <si>
    <r>
      <t xml:space="preserve">Aussi, les données fournies par la municipalité </t>
    </r>
    <r>
      <rPr>
        <sz val="11"/>
        <color rgb="FFFF0000"/>
        <rFont val="Calibri"/>
        <family val="2"/>
        <scheme val="minor"/>
      </rPr>
      <t>XXX</t>
    </r>
    <r>
      <rPr>
        <sz val="11"/>
        <color theme="1"/>
        <rFont val="Calibri"/>
        <family val="2"/>
        <scheme val="minor"/>
      </rPr>
      <t xml:space="preserve"> recense</t>
    </r>
    <r>
      <rPr>
        <sz val="11"/>
        <color rgb="FFFF0000"/>
        <rFont val="Calibri"/>
        <family val="2"/>
        <scheme val="minor"/>
      </rPr>
      <t xml:space="preserve"> XXX</t>
    </r>
    <r>
      <rPr>
        <sz val="11"/>
        <color theme="1"/>
        <rFont val="Calibri"/>
        <family val="2"/>
        <scheme val="minor"/>
      </rPr>
      <t xml:space="preserve"> fermes avec de la production animale principalement des bovins laitier ou de boucherie, des lapins, des poulets et des moutons.</t>
    </r>
    <r>
      <rPr>
        <sz val="11"/>
        <color rgb="FFFF0000"/>
        <rFont val="Calibri"/>
        <family val="2"/>
        <scheme val="minor"/>
      </rPr>
      <t xml:space="preserve"> XX </t>
    </r>
    <r>
      <rPr>
        <sz val="11"/>
        <color theme="1"/>
        <rFont val="Calibri"/>
        <family val="2"/>
        <scheme val="minor"/>
      </rPr>
      <t xml:space="preserve">fermes avec bovins de boucheries et </t>
    </r>
    <r>
      <rPr>
        <sz val="11"/>
        <color rgb="FFFF0000"/>
        <rFont val="Calibri"/>
        <family val="2"/>
        <scheme val="minor"/>
      </rPr>
      <t>XX</t>
    </r>
    <r>
      <rPr>
        <sz val="11"/>
        <color theme="1"/>
        <rFont val="Calibri"/>
        <family val="2"/>
        <scheme val="minor"/>
      </rPr>
      <t xml:space="preserve"> fermes de bovins laitiers.</t>
    </r>
  </si>
  <si>
    <r>
      <t>Nous émettons l'hypothèse que les producteurs de</t>
    </r>
    <r>
      <rPr>
        <sz val="11"/>
        <color rgb="FFFF0000"/>
        <rFont val="Calibri"/>
        <family val="2"/>
        <scheme val="minor"/>
      </rPr>
      <t xml:space="preserve"> XXX </t>
    </r>
    <r>
      <rPr>
        <sz val="11"/>
        <color theme="1"/>
        <rFont val="Calibri"/>
        <family val="2"/>
        <scheme val="minor"/>
      </rPr>
      <t>préconisent le stockage des déjections sous la forme de fumier liquide pour les bovins et sous la forme sèche pour les ovins.</t>
    </r>
  </si>
  <si>
    <r>
      <rPr>
        <sz val="11"/>
        <color rgb="FFFF0000"/>
        <rFont val="Calibri"/>
        <family val="2"/>
        <scheme val="minor"/>
      </rPr>
      <t xml:space="preserve">XXX </t>
    </r>
    <r>
      <rPr>
        <sz val="11"/>
        <color theme="1"/>
        <rFont val="Calibri"/>
        <family val="2"/>
        <scheme val="minor"/>
      </rPr>
      <t>des vaches du territoire sont catégorisées comme des vaches laitières</t>
    </r>
  </si>
  <si>
    <r>
      <rPr>
        <sz val="11"/>
        <color rgb="FFFF0000"/>
        <rFont val="Calibri"/>
        <family val="2"/>
        <scheme val="minor"/>
      </rPr>
      <t>XXX</t>
    </r>
    <r>
      <rPr>
        <sz val="11"/>
        <color theme="1"/>
        <rFont val="Calibri"/>
        <family val="2"/>
        <scheme val="minor"/>
      </rPr>
      <t xml:space="preserve"> des vaches du territoire sont catégorisées comme des vaches de boucherie</t>
    </r>
  </si>
  <si>
    <t>E CH4 pour vaches laitières =</t>
  </si>
  <si>
    <t xml:space="preserve">E CH4 pour vaches de boucherie = </t>
  </si>
  <si>
    <t xml:space="preserve">E CH4 pour les moutons  = </t>
  </si>
  <si>
    <t xml:space="preserve">ECH4  pour les vaches laitières = </t>
  </si>
  <si>
    <t>ECH4  pour les vaches de boucherie =</t>
  </si>
  <si>
    <t xml:space="preserve">EN2O  pour les vaches laitières = </t>
  </si>
  <si>
    <t xml:space="preserve">EN2O pour les vaches de boucherie = </t>
  </si>
  <si>
    <t xml:space="preserve">EN2O pour les moutons = </t>
  </si>
  <si>
    <r>
      <t xml:space="preserve">D) Selon Hydro-Québec, le secteur résidentiel de la municipalité </t>
    </r>
    <r>
      <rPr>
        <sz val="11"/>
        <color rgb="FFFF0000"/>
        <rFont val="Calibri"/>
        <family val="2"/>
        <scheme val="minor"/>
      </rPr>
      <t>xx</t>
    </r>
    <r>
      <rPr>
        <sz val="11"/>
        <color theme="1"/>
        <rFont val="Calibri"/>
        <family val="2"/>
        <scheme val="minor"/>
      </rPr>
      <t xml:space="preserve"> présente</t>
    </r>
    <r>
      <rPr>
        <sz val="11"/>
        <color rgb="FFFF0000"/>
        <rFont val="Calibri"/>
        <family val="2"/>
        <scheme val="minor"/>
      </rPr>
      <t xml:space="preserve"> XXXX</t>
    </r>
    <r>
      <rPr>
        <sz val="11"/>
        <color theme="1"/>
        <rFont val="Calibri"/>
        <family val="2"/>
        <scheme val="minor"/>
      </rPr>
      <t xml:space="preserve"> kWh.
e) Le nombre de Pj d'électricité pour la municipalité de </t>
    </r>
    <r>
      <rPr>
        <sz val="11"/>
        <color rgb="FFFF0000"/>
        <rFont val="Calibri"/>
        <family val="2"/>
        <scheme val="minor"/>
      </rPr>
      <t>XXX</t>
    </r>
    <r>
      <rPr>
        <sz val="11"/>
        <color theme="1"/>
        <rFont val="Calibri"/>
        <family val="2"/>
        <scheme val="minor"/>
      </rPr>
      <t xml:space="preserve"> s'élève à 0,0000000036*</t>
    </r>
    <r>
      <rPr>
        <sz val="11"/>
        <color rgb="FFFF0000"/>
        <rFont val="Calibri"/>
        <family val="2"/>
        <scheme val="minor"/>
      </rPr>
      <t>XXXX</t>
    </r>
    <r>
      <rPr>
        <sz val="11"/>
        <color theme="1"/>
        <rFont val="Calibri"/>
        <family val="2"/>
        <scheme val="minor"/>
      </rPr>
      <t xml:space="preserve"> =  </t>
    </r>
    <r>
      <rPr>
        <sz val="11"/>
        <color rgb="FFFF0000"/>
        <rFont val="Calibri"/>
        <family val="2"/>
        <scheme val="minor"/>
      </rPr>
      <t xml:space="preserve"> XXXX</t>
    </r>
    <r>
      <rPr>
        <sz val="11"/>
        <color theme="1"/>
        <rFont val="Calibri"/>
        <family val="2"/>
        <scheme val="minor"/>
      </rPr>
      <t xml:space="preserve"> Pj
f) Si </t>
    </r>
    <r>
      <rPr>
        <sz val="11"/>
        <color rgb="FFFF0000"/>
        <rFont val="Calibri"/>
        <family val="2"/>
        <scheme val="minor"/>
      </rPr>
      <t>XX</t>
    </r>
    <r>
      <rPr>
        <sz val="11"/>
        <color theme="1"/>
        <rFont val="Calibri"/>
        <family val="2"/>
        <scheme val="minor"/>
      </rPr>
      <t xml:space="preserve">% de la consommation totale d'énergie s'élève  à </t>
    </r>
    <r>
      <rPr>
        <sz val="11"/>
        <color rgb="FFFF0000"/>
        <rFont val="Calibri"/>
        <family val="2"/>
        <scheme val="minor"/>
      </rPr>
      <t xml:space="preserve">XXX </t>
    </r>
    <r>
      <rPr>
        <sz val="11"/>
        <color theme="1"/>
        <rFont val="Calibri"/>
        <family val="2"/>
        <scheme val="minor"/>
      </rPr>
      <t>Pj, alors 100% de la consommation d'énergie s'élève à</t>
    </r>
    <r>
      <rPr>
        <sz val="11"/>
        <color rgb="FFFF0000"/>
        <rFont val="Calibri"/>
        <family val="2"/>
        <scheme val="minor"/>
      </rPr>
      <t xml:space="preserve"> XXX </t>
    </r>
    <r>
      <rPr>
        <sz val="11"/>
        <color theme="1"/>
        <rFont val="Calibri"/>
        <family val="2"/>
        <scheme val="minor"/>
      </rPr>
      <t>Pj</t>
    </r>
  </si>
  <si>
    <r>
      <t xml:space="preserve">Tableau 1.1 Sommaire des émissions de GES issues des activités de la municipalité </t>
    </r>
    <r>
      <rPr>
        <b/>
        <sz val="11"/>
        <color rgb="FFFF0000"/>
        <rFont val="Calibri"/>
        <family val="2"/>
        <scheme val="minor"/>
      </rPr>
      <t xml:space="preserve">XXX </t>
    </r>
    <r>
      <rPr>
        <b/>
        <sz val="11"/>
        <color theme="1"/>
        <rFont val="Calibri"/>
        <family val="2"/>
        <scheme val="minor"/>
      </rPr>
      <t>du 1</t>
    </r>
    <r>
      <rPr>
        <b/>
        <vertAlign val="superscript"/>
        <sz val="11"/>
        <color theme="1"/>
        <rFont val="Calibri"/>
        <family val="2"/>
        <scheme val="minor"/>
      </rPr>
      <t>er</t>
    </r>
    <r>
      <rPr>
        <b/>
        <sz val="11"/>
        <color theme="1"/>
        <rFont val="Calibri"/>
        <family val="2"/>
        <scheme val="minor"/>
      </rPr>
      <t xml:space="preserve"> janvier 2022 au 31 décembre 2022 pour le secteur corporatif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</si>
</sst>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0"/>
    <numFmt numFmtId="167" formatCode="0.00000"/>
    <numFmt numFmtId="168" formatCode="0.00000000"/>
    <numFmt numFmtId="169" formatCode="#,##0.000"/>
    <numFmt numFmtId="170" formatCode="#,##0.00000"/>
  </numFmts>
  <fonts count="56" x14ac:knownFonts="1">
    <font>
      <sz val="11"/>
      <color theme="1"/>
      <name val="Calibri"/>
      <family val="2"/>
      <scheme val="minor"/>
    </font>
    <font>
      <b/>
      <sz val="11"/>
      <color theme="1"/>
      <name val="Calibri"/>
      <family val="2"/>
      <scheme val="minor"/>
    </font>
    <font>
      <u/>
      <sz val="11"/>
      <color theme="10"/>
      <name val="Calibri"/>
      <family val="2"/>
      <scheme val="minor"/>
    </font>
    <font>
      <sz val="11"/>
      <color rgb="FF444444"/>
      <name val="Calibri"/>
      <family val="2"/>
      <charset val="1"/>
    </font>
    <font>
      <b/>
      <sz val="14"/>
      <color theme="1"/>
      <name val="Calibri"/>
      <family val="2"/>
      <scheme val="minor"/>
    </font>
    <font>
      <b/>
      <sz val="12"/>
      <color theme="1"/>
      <name val="Calibri"/>
      <family val="2"/>
      <scheme val="minor"/>
    </font>
    <font>
      <b/>
      <sz val="7"/>
      <color rgb="FF000000"/>
      <name val="Verdana"/>
      <family val="2"/>
    </font>
    <font>
      <sz val="18"/>
      <color theme="1"/>
      <name val="Calibri"/>
      <family val="2"/>
      <scheme val="minor"/>
    </font>
    <font>
      <b/>
      <sz val="11"/>
      <color theme="0"/>
      <name val="Calibri"/>
      <family val="2"/>
      <scheme val="minor"/>
    </font>
    <font>
      <b/>
      <vertAlign val="subscript"/>
      <sz val="11"/>
      <color theme="0"/>
      <name val="Calibri"/>
      <family val="2"/>
      <scheme val="minor"/>
    </font>
    <font>
      <vertAlign val="subscript"/>
      <sz val="11"/>
      <color theme="1"/>
      <name val="Calibri"/>
      <family val="2"/>
      <scheme val="minor"/>
    </font>
    <font>
      <sz val="11"/>
      <color rgb="FFF9F9F9"/>
      <name val="Calibri"/>
      <family val="2"/>
      <scheme val="minor"/>
    </font>
    <font>
      <b/>
      <sz val="11"/>
      <color rgb="FFF9F9F9"/>
      <name val="Calibri"/>
      <family val="2"/>
      <scheme val="minor"/>
    </font>
    <font>
      <b/>
      <vertAlign val="subscript"/>
      <sz val="11"/>
      <color theme="1"/>
      <name val="Calibri"/>
      <family val="2"/>
      <scheme val="minor"/>
    </font>
    <font>
      <b/>
      <sz val="11"/>
      <color rgb="FF343432"/>
      <name val="Calibri"/>
      <family val="2"/>
      <scheme val="minor"/>
    </font>
    <font>
      <sz val="11"/>
      <color rgb="FF343432"/>
      <name val="Calibri"/>
      <family val="2"/>
      <scheme val="minor"/>
    </font>
    <font>
      <i/>
      <sz val="11"/>
      <color theme="1"/>
      <name val="Calibri"/>
      <family val="2"/>
      <scheme val="minor"/>
    </font>
    <font>
      <vertAlign val="superscript"/>
      <sz val="11"/>
      <color theme="1"/>
      <name val="Calibri"/>
      <family val="2"/>
      <scheme val="minor"/>
    </font>
    <font>
      <b/>
      <vertAlign val="superscript"/>
      <sz val="11"/>
      <color theme="1"/>
      <name val="Calibri"/>
      <family val="2"/>
      <scheme val="minor"/>
    </font>
    <font>
      <sz val="8"/>
      <name val="Calibri"/>
      <family val="2"/>
      <scheme val="minor"/>
    </font>
    <font>
      <b/>
      <sz val="18"/>
      <color rgb="FFF9F9F9"/>
      <name val="Calibri"/>
      <family val="2"/>
      <scheme val="minor"/>
    </font>
    <font>
      <b/>
      <sz val="16"/>
      <color rgb="FFF9F9F9"/>
      <name val="Calibri"/>
      <family val="2"/>
      <scheme val="minor"/>
    </font>
    <font>
      <b/>
      <sz val="18"/>
      <color theme="1"/>
      <name val="Calibri"/>
      <family val="2"/>
      <scheme val="minor"/>
    </font>
    <font>
      <sz val="18"/>
      <color rgb="FFF9F9F9"/>
      <name val="Calibri"/>
      <family val="2"/>
      <scheme val="minor"/>
    </font>
    <font>
      <sz val="11"/>
      <name val="Calibri"/>
      <family val="2"/>
      <scheme val="minor"/>
    </font>
    <font>
      <sz val="11"/>
      <color theme="0"/>
      <name val="Calibri"/>
      <family val="2"/>
      <scheme val="minor"/>
    </font>
    <font>
      <sz val="18"/>
      <color theme="0"/>
      <name val="Calibri"/>
      <family val="2"/>
      <scheme val="minor"/>
    </font>
    <font>
      <b/>
      <sz val="11"/>
      <name val="Calibri"/>
      <family val="2"/>
      <scheme val="minor"/>
    </font>
    <font>
      <b/>
      <sz val="12"/>
      <name val="Calibri"/>
      <family val="2"/>
      <scheme val="minor"/>
    </font>
    <font>
      <b/>
      <i/>
      <sz val="12"/>
      <name val="Calibri"/>
      <family val="2"/>
      <scheme val="minor"/>
    </font>
    <font>
      <sz val="12"/>
      <name val="Calibri"/>
      <family val="2"/>
      <scheme val="minor"/>
    </font>
    <font>
      <vertAlign val="superscript"/>
      <sz val="12"/>
      <name val="Calibri"/>
      <family val="2"/>
      <scheme val="minor"/>
    </font>
    <font>
      <sz val="12"/>
      <color theme="1"/>
      <name val="Calibri"/>
      <family val="2"/>
      <scheme val="minor"/>
    </font>
    <font>
      <sz val="10"/>
      <name val="Arial"/>
      <family val="2"/>
    </font>
    <font>
      <sz val="11"/>
      <color rgb="FF000000"/>
      <name val="Calibri"/>
      <family val="2"/>
      <scheme val="minor"/>
    </font>
    <font>
      <b/>
      <sz val="12"/>
      <color rgb="FF000000"/>
      <name val="Calibri"/>
      <family val="2"/>
      <scheme val="minor"/>
    </font>
    <font>
      <sz val="12"/>
      <color rgb="FF000000"/>
      <name val="Calibri"/>
      <family val="2"/>
      <scheme val="minor"/>
    </font>
    <font>
      <vertAlign val="superscript"/>
      <sz val="12"/>
      <color rgb="FF000000"/>
      <name val="Calibri"/>
      <family val="2"/>
      <scheme val="minor"/>
    </font>
    <font>
      <b/>
      <vertAlign val="superscript"/>
      <sz val="12"/>
      <color rgb="FF000000"/>
      <name val="Calibri"/>
      <family val="2"/>
      <scheme val="minor"/>
    </font>
    <font>
      <sz val="11"/>
      <color theme="1"/>
      <name val="Calibri"/>
      <family val="2"/>
      <scheme val="minor"/>
    </font>
    <font>
      <b/>
      <sz val="14"/>
      <color rgb="FFF9F9F9"/>
      <name val="Calibri"/>
      <family val="2"/>
      <scheme val="minor"/>
    </font>
    <font>
      <b/>
      <sz val="16"/>
      <color theme="1"/>
      <name val="Calibri"/>
      <family val="2"/>
      <scheme val="minor"/>
    </font>
    <font>
      <sz val="11"/>
      <color rgb="FFFF0000"/>
      <name val="Calibri"/>
      <family val="2"/>
      <scheme val="minor"/>
    </font>
    <font>
      <sz val="10"/>
      <color theme="1"/>
      <name val="Calibri"/>
      <family val="2"/>
      <scheme val="minor"/>
    </font>
    <font>
      <sz val="10"/>
      <color rgb="FF333333"/>
      <name val="Arial"/>
      <family val="2"/>
    </font>
    <font>
      <sz val="13"/>
      <color rgb="FF333333"/>
      <name val="Arial"/>
      <family val="2"/>
    </font>
    <font>
      <b/>
      <vertAlign val="subscript"/>
      <sz val="13"/>
      <color theme="0"/>
      <name val="Calibri"/>
      <family val="2"/>
      <scheme val="minor"/>
    </font>
    <font>
      <b/>
      <sz val="13"/>
      <color theme="0"/>
      <name val="Calibri"/>
      <family val="2"/>
      <scheme val="minor"/>
    </font>
    <font>
      <sz val="13"/>
      <color theme="1"/>
      <name val="Calibri"/>
      <family val="2"/>
      <scheme val="minor"/>
    </font>
    <font>
      <sz val="11"/>
      <color theme="1"/>
      <name val="Segoe UI"/>
      <family val="2"/>
    </font>
    <font>
      <b/>
      <sz val="11"/>
      <color rgb="FF000000"/>
      <name val="Calibri"/>
      <charset val="1"/>
    </font>
    <font>
      <vertAlign val="superscript"/>
      <sz val="11"/>
      <color rgb="FFFF0000"/>
      <name val="Calibri"/>
      <family val="2"/>
      <scheme val="minor"/>
    </font>
    <font>
      <i/>
      <sz val="11"/>
      <color rgb="FFFF0000"/>
      <name val="Calibri"/>
      <family val="2"/>
      <scheme val="minor"/>
    </font>
    <font>
      <b/>
      <sz val="14"/>
      <color rgb="FFFF0000"/>
      <name val="Calibri"/>
      <family val="2"/>
      <scheme val="minor"/>
    </font>
    <font>
      <sz val="12"/>
      <color rgb="FFFF0000"/>
      <name val="Calibri"/>
      <family val="2"/>
      <scheme val="minor"/>
    </font>
    <font>
      <b/>
      <sz val="11"/>
      <color rgb="FFFF0000"/>
      <name val="Calibri"/>
      <family val="2"/>
      <scheme val="minor"/>
    </font>
  </fonts>
  <fills count="40">
    <fill>
      <patternFill patternType="none"/>
    </fill>
    <fill>
      <patternFill patternType="gray125"/>
    </fill>
    <fill>
      <patternFill patternType="solid">
        <fgColor rgb="FFF2F2F2"/>
        <bgColor indexed="64"/>
      </patternFill>
    </fill>
    <fill>
      <patternFill patternType="solid">
        <fgColor rgb="FFFFFFFF"/>
        <bgColor indexed="64"/>
      </patternFill>
    </fill>
    <fill>
      <patternFill patternType="solid">
        <fgColor rgb="FF343432"/>
        <bgColor indexed="64"/>
      </patternFill>
    </fill>
    <fill>
      <patternFill patternType="solid">
        <fgColor rgb="FF99C527"/>
        <bgColor indexed="64"/>
      </patternFill>
    </fill>
    <fill>
      <patternFill patternType="solid">
        <fgColor rgb="FFBEE16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249977111117893"/>
        <bgColor indexed="64"/>
      </patternFill>
    </fill>
    <fill>
      <patternFill patternType="solid">
        <fgColor rgb="FFF9F9F9"/>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D5B9FF"/>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rgb="FFC00000"/>
        <bgColor indexed="64"/>
      </patternFill>
    </fill>
    <fill>
      <patternFill patternType="solid">
        <fgColor rgb="FFA4A9AD"/>
        <bgColor indexed="64"/>
      </patternFill>
    </fill>
    <fill>
      <patternFill patternType="solid">
        <fgColor rgb="FF9DBF9E"/>
        <bgColor indexed="64"/>
      </patternFill>
    </fill>
    <fill>
      <patternFill patternType="solid">
        <fgColor rgb="FFC46D5E"/>
        <bgColor indexed="64"/>
      </patternFill>
    </fill>
    <fill>
      <patternFill patternType="solid">
        <fgColor rgb="FFEC9A29"/>
        <bgColor indexed="64"/>
      </patternFill>
    </fill>
    <fill>
      <patternFill patternType="solid">
        <fgColor rgb="FF1A936F"/>
        <bgColor indexed="64"/>
      </patternFill>
    </fill>
    <fill>
      <patternFill patternType="solid">
        <fgColor rgb="FF444A4C"/>
        <bgColor indexed="64"/>
      </patternFill>
    </fill>
    <fill>
      <patternFill patternType="solid">
        <fgColor rgb="FF8EA8C3"/>
        <bgColor indexed="64"/>
      </patternFill>
    </fill>
    <fill>
      <patternFill patternType="solid">
        <fgColor rgb="FFE5C3D1"/>
        <bgColor indexed="64"/>
      </patternFill>
    </fill>
    <fill>
      <patternFill patternType="solid">
        <fgColor rgb="FFE06D06"/>
        <bgColor indexed="64"/>
      </patternFill>
    </fill>
    <fill>
      <patternFill patternType="solid">
        <fgColor rgb="FFE8EFCA"/>
        <bgColor indexed="64"/>
      </patternFill>
    </fill>
    <fill>
      <patternFill patternType="solid">
        <fgColor rgb="FF99C628"/>
        <bgColor indexed="64"/>
      </patternFill>
    </fill>
    <fill>
      <patternFill patternType="solid">
        <fgColor rgb="FF20A39E"/>
        <bgColor indexed="64"/>
      </patternFill>
    </fill>
    <fill>
      <patternFill patternType="solid">
        <fgColor rgb="FFA69CAC"/>
        <bgColor indexed="64"/>
      </patternFill>
    </fill>
    <fill>
      <patternFill patternType="solid">
        <fgColor rgb="FFD65108"/>
        <bgColor indexed="64"/>
      </patternFill>
    </fill>
    <fill>
      <patternFill patternType="solid">
        <fgColor rgb="FFFCB9B2"/>
        <bgColor indexed="64"/>
      </patternFill>
    </fill>
    <fill>
      <patternFill patternType="solid">
        <fgColor rgb="FF81C3D7"/>
        <bgColor indexed="64"/>
      </patternFill>
    </fill>
    <fill>
      <patternFill patternType="solid">
        <fgColor rgb="FFFFFF66"/>
        <bgColor indexed="64"/>
      </patternFill>
    </fill>
  </fills>
  <borders count="82">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rgb="FF000000"/>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diagonal/>
    </border>
    <border>
      <left style="medium">
        <color rgb="FFDDDDDD"/>
      </left>
      <right style="medium">
        <color rgb="FFDDDDDD"/>
      </right>
      <top style="medium">
        <color rgb="FFDDDDDD"/>
      </top>
      <bottom style="medium">
        <color rgb="FFDDDDDD"/>
      </bottom>
      <diagonal/>
    </border>
    <border>
      <left style="thin">
        <color rgb="FF000000"/>
      </left>
      <right/>
      <top style="thin">
        <color rgb="FF000000"/>
      </top>
      <bottom style="thin">
        <color rgb="FF000000"/>
      </bottom>
      <diagonal/>
    </border>
    <border>
      <left style="medium">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medium">
        <color indexed="64"/>
      </top>
      <bottom style="thin">
        <color indexed="64"/>
      </bottom>
      <diagonal/>
    </border>
    <border>
      <left/>
      <right/>
      <top/>
      <bottom style="medium">
        <color rgb="FFDDDDDD"/>
      </bottom>
      <diagonal/>
    </border>
    <border>
      <left/>
      <right style="medium">
        <color rgb="FFDDDDDD"/>
      </right>
      <top/>
      <bottom style="medium">
        <color rgb="FFDDDDDD"/>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834">
    <xf numFmtId="0" fontId="0" fillId="0" borderId="0" xfId="0"/>
    <xf numFmtId="0" fontId="0" fillId="0" borderId="0" xfId="0" applyAlignment="1">
      <alignment horizontal="center" vertical="center" wrapText="1"/>
    </xf>
    <xf numFmtId="0" fontId="0" fillId="0" borderId="0" xfId="0" applyAlignment="1">
      <alignment horizontal="center"/>
    </xf>
    <xf numFmtId="0" fontId="0" fillId="0" borderId="0" xfId="0" applyAlignment="1">
      <alignment wrapText="1"/>
    </xf>
    <xf numFmtId="0" fontId="0" fillId="0" borderId="1" xfId="0" applyBorder="1" applyAlignment="1">
      <alignment horizontal="center" vertical="center"/>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3" fillId="0" borderId="7" xfId="0" applyFont="1"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4" fontId="0" fillId="0" borderId="7" xfId="0" applyNumberForma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xf>
    <xf numFmtId="4" fontId="0" fillId="0" borderId="7" xfId="0" applyNumberFormat="1" applyBorder="1" applyAlignment="1">
      <alignment horizontal="center"/>
    </xf>
    <xf numFmtId="0" fontId="0" fillId="0" borderId="7" xfId="0" applyBorder="1" applyAlignment="1">
      <alignment horizontal="center" wrapText="1"/>
    </xf>
    <xf numFmtId="3" fontId="0" fillId="0" borderId="7" xfId="0" applyNumberFormat="1" applyBorder="1" applyAlignment="1">
      <alignment horizontal="center"/>
    </xf>
    <xf numFmtId="0" fontId="0" fillId="0" borderId="7" xfId="0" applyBorder="1"/>
    <xf numFmtId="0" fontId="1" fillId="0" borderId="8" xfId="0" applyFont="1" applyBorder="1" applyAlignment="1">
      <alignment horizontal="center" vertical="center"/>
    </xf>
    <xf numFmtId="0" fontId="1" fillId="0" borderId="8" xfId="0" applyFont="1" applyBorder="1" applyAlignment="1">
      <alignment horizontal="center" vertical="center" wrapText="1"/>
    </xf>
    <xf numFmtId="0" fontId="0" fillId="0" borderId="8" xfId="0" applyBorder="1" applyAlignment="1">
      <alignment horizontal="center" vertical="center" wrapText="1"/>
    </xf>
    <xf numFmtId="0" fontId="1" fillId="0" borderId="8" xfId="0" applyFont="1" applyBorder="1" applyAlignment="1">
      <alignment horizontal="center" wrapText="1"/>
    </xf>
    <xf numFmtId="0" fontId="5" fillId="0" borderId="10" xfId="0" applyFont="1" applyBorder="1" applyAlignment="1">
      <alignment horizontal="center" vertical="center" wrapText="1"/>
    </xf>
    <xf numFmtId="0" fontId="0" fillId="2" borderId="8" xfId="0" applyFill="1" applyBorder="1" applyAlignment="1">
      <alignment horizontal="center" vertical="center"/>
    </xf>
    <xf numFmtId="0" fontId="1" fillId="2" borderId="8" xfId="0" applyFont="1" applyFill="1" applyBorder="1" applyAlignment="1">
      <alignment horizontal="center" vertical="center" wrapText="1"/>
    </xf>
    <xf numFmtId="0" fontId="6" fillId="0" borderId="0" xfId="0" applyFont="1" applyAlignment="1">
      <alignment horizontal="center" vertical="center" wrapText="1"/>
    </xf>
    <xf numFmtId="0" fontId="0" fillId="0" borderId="13" xfId="0" applyBorder="1" applyAlignment="1">
      <alignment horizontal="center" vertical="center" wrapText="1"/>
    </xf>
    <xf numFmtId="0" fontId="1" fillId="0" borderId="7" xfId="0" applyFont="1" applyBorder="1" applyAlignment="1">
      <alignment horizontal="center" vertical="center" wrapText="1"/>
    </xf>
    <xf numFmtId="0" fontId="2" fillId="0" borderId="9" xfId="1" applyFill="1" applyBorder="1" applyAlignment="1">
      <alignment vertical="center" wrapText="1"/>
    </xf>
    <xf numFmtId="0" fontId="1" fillId="2" borderId="7" xfId="0" applyFont="1" applyFill="1" applyBorder="1" applyAlignment="1">
      <alignment horizontal="center" vertical="center" wrapText="1"/>
    </xf>
    <xf numFmtId="0" fontId="2" fillId="0" borderId="9" xfId="1" applyFill="1" applyBorder="1" applyAlignment="1">
      <alignment horizontal="center" vertical="center" wrapText="1"/>
    </xf>
    <xf numFmtId="0" fontId="2" fillId="0" borderId="0" xfId="1" applyBorder="1" applyAlignment="1">
      <alignment horizontal="center" vertical="center" wrapText="1"/>
    </xf>
    <xf numFmtId="0" fontId="2" fillId="0" borderId="0" xfId="1" applyAlignment="1">
      <alignment horizontal="center" vertical="center" wrapText="1"/>
    </xf>
    <xf numFmtId="0" fontId="2" fillId="0" borderId="1" xfId="1" applyBorder="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5" fillId="0" borderId="0" xfId="0" applyFont="1"/>
    <xf numFmtId="0" fontId="0" fillId="4" borderId="7" xfId="0" applyFill="1" applyBorder="1"/>
    <xf numFmtId="0" fontId="0" fillId="0" borderId="7" xfId="0" applyBorder="1" applyAlignment="1">
      <alignment horizontal="right"/>
    </xf>
    <xf numFmtId="0" fontId="12" fillId="4" borderId="8" xfId="0" applyFont="1" applyFill="1" applyBorder="1"/>
    <xf numFmtId="0" fontId="1" fillId="0" borderId="8" xfId="0" applyFont="1" applyBorder="1"/>
    <xf numFmtId="0" fontId="0" fillId="0" borderId="8" xfId="0" applyBorder="1" applyAlignment="1">
      <alignment horizontal="right"/>
    </xf>
    <xf numFmtId="0" fontId="1" fillId="0" borderId="8" xfId="0" applyFont="1" applyBorder="1" applyAlignment="1">
      <alignment horizontal="left"/>
    </xf>
    <xf numFmtId="0" fontId="12" fillId="4" borderId="26" xfId="0" applyFont="1" applyFill="1" applyBorder="1" applyAlignment="1">
      <alignment horizontal="left"/>
    </xf>
    <xf numFmtId="0" fontId="12" fillId="4" borderId="13" xfId="0" applyFont="1" applyFill="1" applyBorder="1"/>
    <xf numFmtId="0" fontId="12" fillId="0" borderId="0" xfId="0" applyFont="1"/>
    <xf numFmtId="0" fontId="1" fillId="5" borderId="10" xfId="0" applyFont="1" applyFill="1" applyBorder="1"/>
    <xf numFmtId="0" fontId="12" fillId="4" borderId="28" xfId="0" applyFont="1" applyFill="1" applyBorder="1"/>
    <xf numFmtId="0" fontId="11" fillId="4" borderId="7" xfId="0" applyFont="1" applyFill="1" applyBorder="1"/>
    <xf numFmtId="0" fontId="14" fillId="0" borderId="8" xfId="0" applyFont="1" applyBorder="1"/>
    <xf numFmtId="0" fontId="1" fillId="5" borderId="1" xfId="0" applyFont="1" applyFill="1" applyBorder="1" applyAlignment="1">
      <alignment horizontal="center" vertical="center" wrapText="1"/>
    </xf>
    <xf numFmtId="0" fontId="12" fillId="4" borderId="7" xfId="0" applyFont="1" applyFill="1" applyBorder="1" applyAlignment="1">
      <alignment vertical="center"/>
    </xf>
    <xf numFmtId="0" fontId="1" fillId="6" borderId="7" xfId="0" applyFont="1" applyFill="1" applyBorder="1" applyAlignment="1">
      <alignment horizontal="left" vertical="center"/>
    </xf>
    <xf numFmtId="0" fontId="1" fillId="5" borderId="7" xfId="0" applyFont="1" applyFill="1" applyBorder="1" applyAlignment="1">
      <alignment horizontal="center" vertical="center" wrapText="1"/>
    </xf>
    <xf numFmtId="0" fontId="1" fillId="6" borderId="7" xfId="0" applyFont="1" applyFill="1" applyBorder="1"/>
    <xf numFmtId="0" fontId="12" fillId="0" borderId="0" xfId="0" applyFont="1" applyAlignment="1">
      <alignment horizontal="left"/>
    </xf>
    <xf numFmtId="0" fontId="2" fillId="0" borderId="0" xfId="1" applyFill="1" applyBorder="1" applyAlignment="1">
      <alignment horizontal="center" vertical="center" wrapText="1"/>
    </xf>
    <xf numFmtId="0" fontId="2" fillId="0" borderId="0" xfId="1" applyFill="1" applyAlignment="1">
      <alignment horizontal="center" vertical="center" wrapText="1"/>
    </xf>
    <xf numFmtId="0" fontId="12" fillId="4" borderId="7" xfId="0" applyFont="1" applyFill="1" applyBorder="1" applyAlignment="1">
      <alignment horizontal="left"/>
    </xf>
    <xf numFmtId="0" fontId="1" fillId="6" borderId="7" xfId="0" applyFont="1" applyFill="1" applyBorder="1" applyAlignment="1">
      <alignment horizontal="left"/>
    </xf>
    <xf numFmtId="0" fontId="1" fillId="6" borderId="25" xfId="0" applyFont="1" applyFill="1" applyBorder="1" applyAlignment="1">
      <alignment horizontal="center"/>
    </xf>
    <xf numFmtId="0" fontId="0" fillId="0" borderId="11" xfId="0" applyBorder="1" applyAlignment="1">
      <alignment horizontal="center"/>
    </xf>
    <xf numFmtId="0" fontId="1" fillId="0" borderId="11" xfId="0" applyFont="1" applyBorder="1" applyAlignment="1">
      <alignment horizontal="center"/>
    </xf>
    <xf numFmtId="0" fontId="1" fillId="0" borderId="7" xfId="0" applyFont="1" applyBorder="1" applyAlignment="1">
      <alignment horizontal="center"/>
    </xf>
    <xf numFmtId="0" fontId="1" fillId="0" borderId="14" xfId="0" applyFont="1" applyBorder="1" applyAlignment="1">
      <alignment horizontal="center"/>
    </xf>
    <xf numFmtId="0" fontId="0" fillId="4" borderId="29" xfId="0" applyFill="1" applyBorder="1" applyAlignment="1">
      <alignment horizontal="center"/>
    </xf>
    <xf numFmtId="0" fontId="0" fillId="0" borderId="11" xfId="0" applyBorder="1" applyAlignment="1">
      <alignment horizontal="right"/>
    </xf>
    <xf numFmtId="0" fontId="0" fillId="0" borderId="14" xfId="0" applyBorder="1" applyAlignment="1">
      <alignment horizontal="right"/>
    </xf>
    <xf numFmtId="0" fontId="0" fillId="4" borderId="7" xfId="0" applyFill="1" applyBorder="1" applyAlignment="1">
      <alignment horizontal="center"/>
    </xf>
    <xf numFmtId="0" fontId="0" fillId="6" borderId="7" xfId="0" applyFill="1" applyBorder="1" applyAlignment="1">
      <alignment horizontal="center"/>
    </xf>
    <xf numFmtId="0" fontId="12" fillId="4" borderId="22" xfId="0" applyFont="1" applyFill="1" applyBorder="1" applyAlignment="1">
      <alignment horizontal="left" vertical="center"/>
    </xf>
    <xf numFmtId="0" fontId="0" fillId="0" borderId="22" xfId="0" applyBorder="1" applyAlignment="1">
      <alignment horizontal="right"/>
    </xf>
    <xf numFmtId="0" fontId="11" fillId="4" borderId="16" xfId="0" applyFont="1" applyFill="1" applyBorder="1" applyAlignment="1">
      <alignment horizontal="left"/>
    </xf>
    <xf numFmtId="0" fontId="14" fillId="6" borderId="22" xfId="0" applyFont="1" applyFill="1" applyBorder="1" applyAlignment="1">
      <alignment horizontal="left" vertical="center"/>
    </xf>
    <xf numFmtId="0" fontId="0" fillId="6" borderId="16" xfId="0" applyFill="1" applyBorder="1"/>
    <xf numFmtId="0" fontId="0" fillId="6" borderId="16" xfId="0" applyFill="1" applyBorder="1" applyAlignment="1">
      <alignment horizontal="left"/>
    </xf>
    <xf numFmtId="0" fontId="14" fillId="6" borderId="16" xfId="0" applyFont="1" applyFill="1" applyBorder="1" applyAlignment="1">
      <alignment horizontal="left" vertical="center"/>
    </xf>
    <xf numFmtId="0" fontId="1" fillId="4" borderId="7" xfId="0" applyFont="1" applyFill="1" applyBorder="1" applyAlignment="1">
      <alignment horizontal="center" vertical="center" wrapText="1"/>
    </xf>
    <xf numFmtId="0" fontId="15" fillId="4" borderId="7" xfId="0" applyFont="1" applyFill="1" applyBorder="1"/>
    <xf numFmtId="0" fontId="1" fillId="6" borderId="34" xfId="0" applyFont="1" applyFill="1" applyBorder="1" applyAlignment="1">
      <alignment horizontal="center" vertical="center" wrapText="1"/>
    </xf>
    <xf numFmtId="0" fontId="11" fillId="4" borderId="8" xfId="0" applyFont="1" applyFill="1" applyBorder="1" applyAlignment="1">
      <alignment horizontal="left" vertical="center" wrapText="1"/>
    </xf>
    <xf numFmtId="0" fontId="0" fillId="0" borderId="10" xfId="0" applyBorder="1" applyAlignment="1">
      <alignment horizontal="center" vertical="center" wrapText="1"/>
    </xf>
    <xf numFmtId="0" fontId="11" fillId="4" borderId="28"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0" fillId="0" borderId="8" xfId="0" applyBorder="1" applyAlignment="1">
      <alignment horizontal="right" vertical="center" wrapText="1"/>
    </xf>
    <xf numFmtId="0" fontId="0" fillId="6" borderId="8" xfId="0" applyFill="1" applyBorder="1" applyAlignment="1">
      <alignment horizontal="center" vertical="center" wrapText="1"/>
    </xf>
    <xf numFmtId="0" fontId="0" fillId="0" borderId="13" xfId="0" applyBorder="1" applyAlignment="1">
      <alignment horizontal="right" vertical="center" wrapText="1"/>
    </xf>
    <xf numFmtId="0" fontId="7" fillId="0" borderId="0" xfId="0" applyFont="1" applyAlignment="1">
      <alignment horizontal="center" vertical="center" wrapText="1"/>
    </xf>
    <xf numFmtId="0" fontId="11" fillId="4" borderId="7" xfId="0" applyFont="1" applyFill="1" applyBorder="1" applyAlignment="1">
      <alignment horizontal="left" vertical="center" wrapText="1"/>
    </xf>
    <xf numFmtId="0" fontId="0" fillId="0" borderId="7" xfId="0" applyBorder="1" applyAlignment="1">
      <alignment horizontal="right" vertical="center" wrapText="1"/>
    </xf>
    <xf numFmtId="0" fontId="12" fillId="4" borderId="7"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7" xfId="0" applyFont="1" applyBorder="1" applyAlignment="1">
      <alignment horizontal="center" vertical="center"/>
    </xf>
    <xf numFmtId="0" fontId="25" fillId="4" borderId="16" xfId="0" applyFont="1" applyFill="1" applyBorder="1" applyAlignment="1">
      <alignment horizontal="left"/>
    </xf>
    <xf numFmtId="0" fontId="25" fillId="4" borderId="0" xfId="0" applyFont="1" applyFill="1" applyAlignment="1">
      <alignment horizontal="center"/>
    </xf>
    <xf numFmtId="0" fontId="25" fillId="4" borderId="27" xfId="0" applyFont="1" applyFill="1" applyBorder="1" applyAlignment="1">
      <alignment horizontal="center"/>
    </xf>
    <xf numFmtId="0" fontId="1" fillId="6" borderId="0" xfId="0" applyFont="1" applyFill="1"/>
    <xf numFmtId="0" fontId="12" fillId="4" borderId="7" xfId="0" applyFont="1" applyFill="1" applyBorder="1" applyAlignment="1">
      <alignment horizontal="center" vertical="center"/>
    </xf>
    <xf numFmtId="0" fontId="12" fillId="4" borderId="25" xfId="0" applyFont="1" applyFill="1" applyBorder="1" applyAlignment="1">
      <alignment vertical="center"/>
    </xf>
    <xf numFmtId="0" fontId="12" fillId="4" borderId="43" xfId="0" applyFont="1" applyFill="1" applyBorder="1" applyAlignment="1">
      <alignment horizontal="right" vertical="center"/>
    </xf>
    <xf numFmtId="0" fontId="12" fillId="4" borderId="29" xfId="0" applyFont="1" applyFill="1" applyBorder="1" applyAlignment="1">
      <alignment horizontal="right" vertical="center"/>
    </xf>
    <xf numFmtId="0" fontId="8" fillId="4" borderId="7" xfId="0" applyFont="1" applyFill="1" applyBorder="1" applyAlignment="1">
      <alignment horizontal="center" vertical="center" wrapText="1"/>
    </xf>
    <xf numFmtId="0" fontId="2" fillId="0" borderId="47" xfId="1" applyBorder="1" applyAlignment="1">
      <alignment vertical="center" wrapText="1"/>
    </xf>
    <xf numFmtId="0" fontId="5" fillId="0" borderId="16" xfId="0" applyFont="1" applyBorder="1" applyAlignment="1">
      <alignment vertical="center"/>
    </xf>
    <xf numFmtId="0" fontId="5" fillId="0" borderId="0" xfId="0" applyFont="1" applyAlignment="1">
      <alignment vertical="center"/>
    </xf>
    <xf numFmtId="0" fontId="2" fillId="0" borderId="0" xfId="1" applyBorder="1" applyAlignment="1">
      <alignment vertical="center" wrapText="1"/>
    </xf>
    <xf numFmtId="0" fontId="14" fillId="0" borderId="7" xfId="0" applyFont="1" applyBorder="1" applyAlignment="1">
      <alignment horizontal="right" vertical="center" wrapText="1"/>
    </xf>
    <xf numFmtId="0" fontId="15" fillId="4" borderId="7" xfId="0" applyFont="1" applyFill="1" applyBorder="1" applyAlignment="1">
      <alignment horizontal="center"/>
    </xf>
    <xf numFmtId="0" fontId="15" fillId="4" borderId="7" xfId="0" applyFont="1" applyFill="1" applyBorder="1" applyAlignment="1">
      <alignment horizontal="center" vertical="center"/>
    </xf>
    <xf numFmtId="0" fontId="0" fillId="6" borderId="7" xfId="0" applyFill="1" applyBorder="1" applyAlignment="1">
      <alignment horizontal="right"/>
    </xf>
    <xf numFmtId="0" fontId="12" fillId="4" borderId="0" xfId="0" applyFont="1" applyFill="1"/>
    <xf numFmtId="0" fontId="1" fillId="6" borderId="7" xfId="0" applyFont="1" applyFill="1" applyBorder="1" applyAlignment="1">
      <alignment horizontal="center" vertical="center"/>
    </xf>
    <xf numFmtId="0" fontId="0" fillId="6" borderId="7" xfId="0" applyFill="1" applyBorder="1" applyAlignment="1">
      <alignment horizontal="center" vertical="center"/>
    </xf>
    <xf numFmtId="0" fontId="27" fillId="6" borderId="7" xfId="0" applyFont="1" applyFill="1" applyBorder="1" applyAlignment="1">
      <alignment horizontal="center" vertical="center"/>
    </xf>
    <xf numFmtId="0" fontId="12" fillId="6" borderId="7" xfId="0" applyFont="1" applyFill="1" applyBorder="1" applyAlignment="1">
      <alignment horizontal="center" vertical="center"/>
    </xf>
    <xf numFmtId="0" fontId="12" fillId="4" borderId="25" xfId="0" applyFont="1" applyFill="1" applyBorder="1" applyAlignment="1">
      <alignment horizontal="center" vertical="center"/>
    </xf>
    <xf numFmtId="0" fontId="12" fillId="5" borderId="0" xfId="0" applyFont="1" applyFill="1" applyAlignment="1">
      <alignment horizontal="center" vertical="center"/>
    </xf>
    <xf numFmtId="0" fontId="12" fillId="0" borderId="0" xfId="0" applyFont="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0" fillId="6" borderId="0" xfId="0" applyFill="1" applyAlignment="1">
      <alignment horizontal="center"/>
    </xf>
    <xf numFmtId="0" fontId="0" fillId="6" borderId="27" xfId="0" applyFill="1" applyBorder="1" applyAlignment="1">
      <alignment horizontal="center"/>
    </xf>
    <xf numFmtId="0" fontId="0" fillId="4" borderId="0" xfId="0" applyFill="1" applyAlignment="1">
      <alignment horizontal="center"/>
    </xf>
    <xf numFmtId="0" fontId="0" fillId="5" borderId="27" xfId="0" applyFill="1" applyBorder="1" applyAlignment="1">
      <alignment horizontal="center"/>
    </xf>
    <xf numFmtId="0" fontId="0" fillId="4" borderId="0" xfId="0" applyFill="1" applyAlignment="1">
      <alignment horizontal="center" vertical="center"/>
    </xf>
    <xf numFmtId="0" fontId="1" fillId="5" borderId="6" xfId="0" applyFont="1" applyFill="1" applyBorder="1" applyAlignment="1">
      <alignment horizontal="center" wrapText="1"/>
    </xf>
    <xf numFmtId="0" fontId="8" fillId="4" borderId="23" xfId="0" applyFont="1" applyFill="1" applyBorder="1" applyAlignment="1">
      <alignment horizontal="center" wrapText="1"/>
    </xf>
    <xf numFmtId="0" fontId="1" fillId="6" borderId="23" xfId="0" applyFont="1" applyFill="1" applyBorder="1" applyAlignment="1">
      <alignment horizontal="center" wrapText="1"/>
    </xf>
    <xf numFmtId="0" fontId="1" fillId="6" borderId="24" xfId="0" applyFont="1" applyFill="1" applyBorder="1" applyAlignment="1">
      <alignment horizontal="center" wrapText="1"/>
    </xf>
    <xf numFmtId="0" fontId="8" fillId="4" borderId="24" xfId="0" applyFont="1" applyFill="1" applyBorder="1" applyAlignment="1">
      <alignment horizontal="center" wrapText="1"/>
    </xf>
    <xf numFmtId="0" fontId="14" fillId="6" borderId="0" xfId="0" applyFont="1" applyFill="1" applyAlignment="1">
      <alignment horizontal="center" wrapText="1"/>
    </xf>
    <xf numFmtId="0" fontId="14" fillId="6" borderId="27" xfId="0" applyFont="1" applyFill="1" applyBorder="1" applyAlignment="1">
      <alignment horizontal="center" wrapText="1"/>
    </xf>
    <xf numFmtId="17" fontId="1" fillId="6" borderId="25" xfId="0" applyNumberFormat="1" applyFont="1" applyFill="1" applyBorder="1" applyAlignment="1">
      <alignment horizontal="center" vertical="center"/>
    </xf>
    <xf numFmtId="0" fontId="1" fillId="5" borderId="35" xfId="0" applyFont="1" applyFill="1" applyBorder="1" applyAlignment="1">
      <alignment horizontal="center" vertical="center"/>
    </xf>
    <xf numFmtId="0" fontId="0" fillId="4" borderId="7" xfId="0" applyFill="1" applyBorder="1" applyAlignment="1">
      <alignment horizontal="center" vertical="center"/>
    </xf>
    <xf numFmtId="0" fontId="0" fillId="4" borderId="29"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0" borderId="0" xfId="0" applyFont="1" applyAlignment="1">
      <alignment horizontal="center" vertical="center"/>
    </xf>
    <xf numFmtId="0" fontId="27" fillId="0" borderId="0" xfId="0" applyFont="1" applyAlignment="1">
      <alignment horizontal="center" vertical="center"/>
    </xf>
    <xf numFmtId="0" fontId="1" fillId="5" borderId="10" xfId="0" applyFont="1" applyFill="1" applyBorder="1" applyAlignment="1">
      <alignment horizontal="left" vertical="center"/>
    </xf>
    <xf numFmtId="0" fontId="27" fillId="0" borderId="0" xfId="0" applyFont="1"/>
    <xf numFmtId="0" fontId="1" fillId="2" borderId="9" xfId="0" applyFont="1" applyFill="1" applyBorder="1" applyAlignment="1">
      <alignment horizontal="center" vertical="center" wrapText="1"/>
    </xf>
    <xf numFmtId="0" fontId="0" fillId="0" borderId="46" xfId="0" applyBorder="1" applyAlignment="1">
      <alignment horizontal="center" vertical="center"/>
    </xf>
    <xf numFmtId="0" fontId="1" fillId="0" borderId="44" xfId="0" applyFont="1" applyBorder="1" applyAlignment="1">
      <alignment horizontal="center" vertical="center" wrapText="1"/>
    </xf>
    <xf numFmtId="0" fontId="1" fillId="5" borderId="7" xfId="0" applyFont="1" applyFill="1" applyBorder="1" applyAlignment="1">
      <alignment horizontal="center" vertical="center"/>
    </xf>
    <xf numFmtId="0" fontId="0" fillId="0" borderId="0" xfId="0" applyAlignment="1">
      <alignment vertical="center"/>
    </xf>
    <xf numFmtId="0" fontId="1" fillId="6" borderId="25" xfId="0" applyFont="1" applyFill="1" applyBorder="1" applyAlignment="1">
      <alignment horizontal="center" vertical="center"/>
    </xf>
    <xf numFmtId="0" fontId="1" fillId="0" borderId="11" xfId="0" applyFont="1" applyBorder="1" applyAlignment="1">
      <alignment horizontal="center" vertical="center"/>
    </xf>
    <xf numFmtId="0" fontId="1" fillId="0" borderId="14" xfId="0" applyFont="1"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4" borderId="7" xfId="0" applyFill="1" applyBorder="1" applyAlignment="1">
      <alignment vertical="center"/>
    </xf>
    <xf numFmtId="0" fontId="1" fillId="0" borderId="0" xfId="0" applyFont="1"/>
    <xf numFmtId="2" fontId="0" fillId="0" borderId="23" xfId="0" applyNumberFormat="1" applyBorder="1" applyAlignment="1">
      <alignment horizontal="center"/>
    </xf>
    <xf numFmtId="2" fontId="0" fillId="0" borderId="7" xfId="0" applyNumberFormat="1" applyBorder="1" applyAlignment="1">
      <alignment horizontal="center" vertical="center"/>
    </xf>
    <xf numFmtId="0" fontId="24" fillId="0" borderId="7" xfId="0" applyFont="1" applyBorder="1" applyAlignment="1">
      <alignment horizontal="center" vertical="center"/>
    </xf>
    <xf numFmtId="0" fontId="0" fillId="0" borderId="34" xfId="0" applyBorder="1" applyAlignment="1">
      <alignment horizontal="center" vertical="center" wrapText="1"/>
    </xf>
    <xf numFmtId="0" fontId="0" fillId="0" borderId="25" xfId="0" applyBorder="1" applyAlignment="1">
      <alignment horizontal="center" vertical="center" wrapText="1"/>
    </xf>
    <xf numFmtId="0" fontId="0" fillId="4" borderId="49" xfId="0" applyFill="1" applyBorder="1" applyAlignment="1">
      <alignment horizontal="center" vertical="center"/>
    </xf>
    <xf numFmtId="0" fontId="1" fillId="5" borderId="37" xfId="0" applyFont="1" applyFill="1" applyBorder="1" applyAlignment="1">
      <alignment horizontal="center" vertical="center"/>
    </xf>
    <xf numFmtId="0" fontId="0" fillId="5" borderId="49" xfId="0" applyFill="1" applyBorder="1" applyAlignment="1">
      <alignment horizontal="center" vertical="center"/>
    </xf>
    <xf numFmtId="0" fontId="0" fillId="6" borderId="17" xfId="0" applyFill="1" applyBorder="1" applyAlignment="1">
      <alignment horizontal="center" vertical="center" wrapText="1"/>
    </xf>
    <xf numFmtId="0" fontId="0" fillId="4" borderId="17" xfId="0" applyFill="1" applyBorder="1" applyAlignment="1">
      <alignment horizontal="center" vertical="center"/>
    </xf>
    <xf numFmtId="0" fontId="1" fillId="5" borderId="17" xfId="0" applyFont="1" applyFill="1" applyBorder="1" applyAlignment="1">
      <alignment horizontal="center" vertical="center"/>
    </xf>
    <xf numFmtId="0" fontId="0" fillId="5" borderId="17" xfId="0" applyFill="1" applyBorder="1" applyAlignment="1">
      <alignment horizontal="center" vertical="center"/>
    </xf>
    <xf numFmtId="0" fontId="0" fillId="4" borderId="50" xfId="0" applyFill="1" applyBorder="1" applyAlignment="1">
      <alignment horizontal="center" vertical="center"/>
    </xf>
    <xf numFmtId="0" fontId="0" fillId="5" borderId="51" xfId="0" applyFill="1" applyBorder="1" applyAlignment="1">
      <alignment horizontal="center" vertical="center"/>
    </xf>
    <xf numFmtId="0" fontId="0" fillId="0" borderId="0" xfId="0" applyAlignment="1">
      <alignment vertical="center" wrapText="1"/>
    </xf>
    <xf numFmtId="0" fontId="1" fillId="4" borderId="17" xfId="0" applyFont="1" applyFill="1" applyBorder="1" applyAlignment="1">
      <alignment horizontal="center" vertical="center"/>
    </xf>
    <xf numFmtId="0" fontId="0" fillId="4" borderId="7" xfId="0" applyFill="1" applyBorder="1" applyAlignment="1">
      <alignment horizontal="center" vertical="center" wrapText="1"/>
    </xf>
    <xf numFmtId="0" fontId="0" fillId="4" borderId="0" xfId="0" applyFill="1" applyAlignment="1">
      <alignment horizontal="center" vertical="center" wrapText="1"/>
    </xf>
    <xf numFmtId="0" fontId="1" fillId="0" borderId="7" xfId="1" applyFont="1" applyFill="1" applyBorder="1" applyAlignment="1">
      <alignment horizontal="center" vertical="center" wrapText="1"/>
    </xf>
    <xf numFmtId="0" fontId="4" fillId="9" borderId="0" xfId="0" applyFont="1" applyFill="1" applyAlignment="1">
      <alignment horizontal="left"/>
    </xf>
    <xf numFmtId="0" fontId="5" fillId="9" borderId="0" xfId="0" applyFont="1" applyFill="1" applyAlignment="1">
      <alignment horizontal="left"/>
    </xf>
    <xf numFmtId="0" fontId="28" fillId="9" borderId="0" xfId="0" applyFont="1" applyFill="1"/>
    <xf numFmtId="0" fontId="29" fillId="9" borderId="0" xfId="0" applyFont="1" applyFill="1" applyAlignment="1">
      <alignment horizontal="left" indent="1"/>
    </xf>
    <xf numFmtId="0" fontId="30" fillId="9" borderId="0" xfId="0" applyFont="1" applyFill="1" applyAlignment="1">
      <alignment horizontal="left" indent="2"/>
    </xf>
    <xf numFmtId="0" fontId="32" fillId="9" borderId="0" xfId="0" applyFont="1" applyFill="1"/>
    <xf numFmtId="0" fontId="4" fillId="9" borderId="0" xfId="0" applyFont="1" applyFill="1"/>
    <xf numFmtId="0" fontId="0" fillId="10" borderId="0" xfId="0" applyFill="1"/>
    <xf numFmtId="0" fontId="4" fillId="10" borderId="0" xfId="0" applyFont="1" applyFill="1" applyAlignment="1">
      <alignment horizontal="left"/>
    </xf>
    <xf numFmtId="0" fontId="4" fillId="10" borderId="0" xfId="0" applyFont="1" applyFill="1"/>
    <xf numFmtId="0" fontId="4" fillId="11" borderId="0" xfId="0" applyFont="1" applyFill="1"/>
    <xf numFmtId="0" fontId="32" fillId="11" borderId="0" xfId="0" applyFont="1" applyFill="1"/>
    <xf numFmtId="0" fontId="0" fillId="11" borderId="0" xfId="0" applyFill="1"/>
    <xf numFmtId="0" fontId="0" fillId="11" borderId="0" xfId="0" applyFill="1" applyAlignment="1">
      <alignment wrapText="1"/>
    </xf>
    <xf numFmtId="0" fontId="2" fillId="9" borderId="0" xfId="1" applyFill="1" applyAlignment="1">
      <alignment horizontal="left"/>
    </xf>
    <xf numFmtId="0" fontId="2" fillId="10" borderId="0" xfId="1" applyFill="1" applyAlignment="1">
      <alignment horizontal="left"/>
    </xf>
    <xf numFmtId="0" fontId="28" fillId="10" borderId="0" xfId="0" applyFont="1" applyFill="1" applyAlignment="1">
      <alignment horizontal="left"/>
    </xf>
    <xf numFmtId="0" fontId="29" fillId="10" borderId="0" xfId="0" applyFont="1" applyFill="1" applyAlignment="1">
      <alignment horizontal="left" indent="1"/>
    </xf>
    <xf numFmtId="0" fontId="30" fillId="10" borderId="0" xfId="0" applyFont="1" applyFill="1" applyAlignment="1">
      <alignment horizontal="left" indent="2"/>
    </xf>
    <xf numFmtId="0" fontId="30" fillId="10" borderId="0" xfId="0" applyFont="1" applyFill="1" applyAlignment="1">
      <alignment horizontal="left"/>
    </xf>
    <xf numFmtId="0" fontId="35" fillId="10" borderId="0" xfId="0" applyFont="1" applyFill="1" applyAlignment="1">
      <alignment horizontal="left"/>
    </xf>
    <xf numFmtId="0" fontId="36" fillId="10" borderId="0" xfId="0" applyFont="1" applyFill="1" applyAlignment="1">
      <alignment horizontal="left" indent="2"/>
    </xf>
    <xf numFmtId="164" fontId="5" fillId="9" borderId="0" xfId="0" applyNumberFormat="1" applyFont="1" applyFill="1" applyAlignment="1">
      <alignment horizontal="left"/>
    </xf>
    <xf numFmtId="164" fontId="32" fillId="9" borderId="0" xfId="0" applyNumberFormat="1" applyFont="1" applyFill="1"/>
    <xf numFmtId="164" fontId="0" fillId="11" borderId="0" xfId="0" applyNumberFormat="1" applyFill="1"/>
    <xf numFmtId="164" fontId="0" fillId="0" borderId="0" xfId="0" applyNumberFormat="1"/>
    <xf numFmtId="164" fontId="32" fillId="9" borderId="0" xfId="0" applyNumberFormat="1" applyFont="1" applyFill="1" applyAlignment="1">
      <alignment horizontal="center" vertical="center"/>
    </xf>
    <xf numFmtId="0" fontId="0" fillId="10" borderId="0" xfId="0" applyFill="1" applyAlignment="1">
      <alignment wrapText="1"/>
    </xf>
    <xf numFmtId="0" fontId="0" fillId="10" borderId="0" xfId="0" applyFill="1" applyAlignment="1">
      <alignment horizontal="center" vertical="top" wrapText="1"/>
    </xf>
    <xf numFmtId="0" fontId="0" fillId="10" borderId="0" xfId="0" applyFill="1" applyAlignment="1">
      <alignment horizontal="left" vertical="top" wrapText="1"/>
    </xf>
    <xf numFmtId="0" fontId="0" fillId="10" borderId="7" xfId="0" applyFill="1" applyBorder="1" applyAlignment="1">
      <alignment horizontal="center" vertical="top" wrapText="1"/>
    </xf>
    <xf numFmtId="0" fontId="30" fillId="10" borderId="7" xfId="0" applyFont="1" applyFill="1" applyBorder="1" applyAlignment="1">
      <alignment horizontal="center" vertical="center" wrapText="1"/>
    </xf>
    <xf numFmtId="0" fontId="0" fillId="10" borderId="7" xfId="0" applyFill="1" applyBorder="1" applyAlignment="1">
      <alignment horizontal="center" vertical="center" wrapText="1"/>
    </xf>
    <xf numFmtId="0" fontId="1" fillId="0" borderId="19" xfId="0" applyFont="1" applyBorder="1" applyAlignment="1">
      <alignment horizontal="center" vertical="center"/>
    </xf>
    <xf numFmtId="0" fontId="0" fillId="10" borderId="7" xfId="0" applyFill="1" applyBorder="1"/>
    <xf numFmtId="164" fontId="32" fillId="9" borderId="0" xfId="0" applyNumberFormat="1" applyFont="1" applyFill="1" applyAlignment="1">
      <alignment horizontal="center"/>
    </xf>
    <xf numFmtId="0" fontId="0" fillId="9" borderId="7" xfId="0" applyFill="1" applyBorder="1" applyAlignment="1">
      <alignment horizontal="center" vertical="top" wrapText="1"/>
    </xf>
    <xf numFmtId="0" fontId="30" fillId="9" borderId="7" xfId="0" applyFont="1" applyFill="1" applyBorder="1" applyAlignment="1">
      <alignment horizontal="center" vertical="center" wrapText="1"/>
    </xf>
    <xf numFmtId="164" fontId="0" fillId="9" borderId="7" xfId="0" applyNumberFormat="1" applyFill="1" applyBorder="1" applyAlignment="1">
      <alignment horizontal="center" vertical="center" wrapText="1"/>
    </xf>
    <xf numFmtId="0" fontId="0" fillId="9" borderId="7" xfId="0" applyFill="1" applyBorder="1" applyAlignment="1">
      <alignment horizontal="center" vertical="center" wrapText="1"/>
    </xf>
    <xf numFmtId="0" fontId="0" fillId="9" borderId="0" xfId="0" applyFill="1" applyAlignment="1">
      <alignment horizontal="left" vertical="top" wrapText="1"/>
    </xf>
    <xf numFmtId="0" fontId="1" fillId="0" borderId="25" xfId="0" applyFont="1" applyBorder="1" applyAlignment="1">
      <alignment horizontal="center" vertical="center"/>
    </xf>
    <xf numFmtId="0" fontId="1" fillId="0" borderId="29" xfId="0" applyFont="1" applyBorder="1" applyAlignment="1">
      <alignment horizontal="center" vertical="center"/>
    </xf>
    <xf numFmtId="0" fontId="0" fillId="0" borderId="46" xfId="0" applyBorder="1" applyAlignment="1">
      <alignment horizontal="center"/>
    </xf>
    <xf numFmtId="0" fontId="0" fillId="5" borderId="52" xfId="0" applyFill="1" applyBorder="1" applyAlignment="1">
      <alignment horizontal="center" vertical="center"/>
    </xf>
    <xf numFmtId="0" fontId="0" fillId="4" borderId="30" xfId="0" applyFill="1" applyBorder="1" applyAlignment="1">
      <alignment horizontal="center" vertical="center"/>
    </xf>
    <xf numFmtId="0" fontId="1" fillId="6" borderId="7" xfId="0" applyFont="1" applyFill="1" applyBorder="1" applyAlignment="1">
      <alignment horizontal="center" vertical="center" wrapText="1"/>
    </xf>
    <xf numFmtId="0" fontId="1" fillId="6" borderId="7" xfId="0" applyFont="1" applyFill="1" applyBorder="1" applyAlignment="1">
      <alignment horizontal="center"/>
    </xf>
    <xf numFmtId="17" fontId="1" fillId="6" borderId="7" xfId="0" applyNumberFormat="1" applyFont="1" applyFill="1" applyBorder="1" applyAlignment="1">
      <alignment horizontal="center" vertical="center"/>
    </xf>
    <xf numFmtId="0" fontId="0" fillId="6" borderId="7" xfId="0" applyFill="1" applyBorder="1" applyAlignment="1">
      <alignment horizontal="center" vertical="center" wrapText="1"/>
    </xf>
    <xf numFmtId="0" fontId="0" fillId="5" borderId="7" xfId="0" applyFill="1" applyBorder="1" applyAlignment="1">
      <alignment horizontal="center" vertical="center"/>
    </xf>
    <xf numFmtId="0" fontId="14" fillId="6" borderId="7" xfId="0" applyFont="1" applyFill="1" applyBorder="1" applyAlignment="1">
      <alignment horizontal="center" vertical="center"/>
    </xf>
    <xf numFmtId="0" fontId="0" fillId="0" borderId="25" xfId="0" applyBorder="1" applyAlignment="1">
      <alignment horizontal="center" vertical="center"/>
    </xf>
    <xf numFmtId="0" fontId="0" fillId="4" borderId="17" xfId="0" applyFill="1" applyBorder="1" applyAlignment="1">
      <alignment horizontal="center" vertical="center" wrapText="1"/>
    </xf>
    <xf numFmtId="0" fontId="0" fillId="13" borderId="7" xfId="0" applyFill="1" applyBorder="1" applyAlignment="1">
      <alignment horizontal="center" vertical="center"/>
    </xf>
    <xf numFmtId="0" fontId="0" fillId="13" borderId="0" xfId="0" applyFill="1"/>
    <xf numFmtId="0" fontId="0" fillId="6" borderId="37" xfId="0" applyFill="1" applyBorder="1" applyAlignment="1">
      <alignment horizontal="center" vertical="center" wrapText="1"/>
    </xf>
    <xf numFmtId="0" fontId="1" fillId="0" borderId="29" xfId="0" applyFont="1" applyBorder="1" applyAlignment="1">
      <alignment horizontal="center"/>
    </xf>
    <xf numFmtId="0" fontId="0" fillId="5" borderId="50" xfId="0" applyFill="1" applyBorder="1" applyAlignment="1">
      <alignment horizontal="center" vertical="center"/>
    </xf>
    <xf numFmtId="0" fontId="0" fillId="5" borderId="53" xfId="0" applyFill="1" applyBorder="1" applyAlignment="1">
      <alignment horizontal="center" vertical="center"/>
    </xf>
    <xf numFmtId="0" fontId="1" fillId="0" borderId="25" xfId="0" applyFont="1" applyBorder="1" applyAlignment="1">
      <alignment horizontal="center"/>
    </xf>
    <xf numFmtId="0" fontId="0" fillId="5" borderId="11" xfId="0" applyFill="1" applyBorder="1" applyAlignment="1">
      <alignment horizontal="center" vertical="center"/>
    </xf>
    <xf numFmtId="0" fontId="0" fillId="5" borderId="14" xfId="0" applyFill="1" applyBorder="1" applyAlignment="1">
      <alignment horizontal="center" vertical="center"/>
    </xf>
    <xf numFmtId="0" fontId="0" fillId="5" borderId="25" xfId="0" applyFill="1" applyBorder="1" applyAlignment="1">
      <alignment horizontal="center" vertical="center"/>
    </xf>
    <xf numFmtId="0" fontId="0" fillId="6" borderId="25" xfId="0" applyFill="1" applyBorder="1" applyAlignment="1">
      <alignment horizontal="center" vertical="center"/>
    </xf>
    <xf numFmtId="0" fontId="15" fillId="0" borderId="7" xfId="0" applyFont="1" applyBorder="1" applyAlignment="1">
      <alignment horizontal="center" vertical="center"/>
    </xf>
    <xf numFmtId="0" fontId="24" fillId="6" borderId="7" xfId="0" applyFont="1" applyFill="1" applyBorder="1" applyAlignment="1">
      <alignment horizontal="center" vertical="center"/>
    </xf>
    <xf numFmtId="0" fontId="0" fillId="0" borderId="14" xfId="0" applyBorder="1" applyAlignment="1">
      <alignment horizontal="center"/>
    </xf>
    <xf numFmtId="0" fontId="1" fillId="11" borderId="0" xfId="0" applyFont="1" applyFill="1" applyAlignment="1">
      <alignment wrapText="1"/>
    </xf>
    <xf numFmtId="0" fontId="0" fillId="9" borderId="7" xfId="0" applyFill="1" applyBorder="1" applyAlignment="1">
      <alignment horizontal="center" vertical="center"/>
    </xf>
    <xf numFmtId="0" fontId="1" fillId="0" borderId="0" xfId="0" applyFont="1" applyAlignment="1">
      <alignment horizontal="left" wrapText="1"/>
    </xf>
    <xf numFmtId="0" fontId="1" fillId="0" borderId="20" xfId="0" applyFont="1" applyBorder="1" applyAlignment="1">
      <alignment horizontal="left" wrapText="1"/>
    </xf>
    <xf numFmtId="0" fontId="0" fillId="0" borderId="43" xfId="0" applyBorder="1" applyAlignment="1">
      <alignment horizontal="center" vertical="center" wrapText="1"/>
    </xf>
    <xf numFmtId="0" fontId="32" fillId="11" borderId="0" xfId="0" applyFont="1" applyFill="1" applyAlignment="1">
      <alignment horizontal="left" vertical="top" wrapText="1"/>
    </xf>
    <xf numFmtId="0" fontId="5" fillId="11" borderId="0" xfId="0" applyFont="1" applyFill="1" applyAlignment="1">
      <alignment horizontal="left" wrapText="1"/>
    </xf>
    <xf numFmtId="0" fontId="0" fillId="10" borderId="0" xfId="0" applyFill="1" applyAlignment="1">
      <alignment horizontal="left" wrapText="1"/>
    </xf>
    <xf numFmtId="0" fontId="0" fillId="10" borderId="0" xfId="0" applyFill="1" applyAlignment="1">
      <alignment horizontal="left"/>
    </xf>
    <xf numFmtId="0" fontId="0" fillId="9" borderId="0" xfId="0" applyFill="1" applyAlignment="1">
      <alignment horizontal="left" wrapText="1"/>
    </xf>
    <xf numFmtId="0" fontId="0" fillId="9" borderId="0" xfId="0" applyFill="1" applyAlignment="1">
      <alignment horizontal="left"/>
    </xf>
    <xf numFmtId="0" fontId="1" fillId="9" borderId="0" xfId="0" applyFont="1" applyFill="1" applyAlignment="1">
      <alignment horizontal="left"/>
    </xf>
    <xf numFmtId="0" fontId="0" fillId="11" borderId="7" xfId="0" applyFill="1" applyBorder="1" applyAlignment="1">
      <alignment horizontal="center" vertical="center"/>
    </xf>
    <xf numFmtId="0" fontId="0" fillId="11" borderId="7" xfId="0" applyFill="1" applyBorder="1" applyAlignment="1">
      <alignment horizontal="center" vertical="center" wrapText="1"/>
    </xf>
    <xf numFmtId="164" fontId="0" fillId="11" borderId="7" xfId="0" applyNumberFormat="1" applyFill="1" applyBorder="1" applyAlignment="1">
      <alignment horizontal="center" vertical="center" wrapText="1"/>
    </xf>
    <xf numFmtId="0" fontId="0" fillId="11" borderId="7" xfId="0" applyFill="1" applyBorder="1" applyAlignment="1">
      <alignment horizontal="center"/>
    </xf>
    <xf numFmtId="0" fontId="22" fillId="11" borderId="0" xfId="0" applyFont="1" applyFill="1" applyAlignment="1">
      <alignment horizontal="left" wrapText="1"/>
    </xf>
    <xf numFmtId="0" fontId="0" fillId="11" borderId="0" xfId="0" applyFill="1" applyAlignment="1">
      <alignment horizontal="left" vertical="top" wrapText="1"/>
    </xf>
    <xf numFmtId="0" fontId="1" fillId="13" borderId="7" xfId="0" applyFont="1" applyFill="1" applyBorder="1" applyAlignment="1">
      <alignment horizontal="center" vertical="center"/>
    </xf>
    <xf numFmtId="0" fontId="0" fillId="6" borderId="7" xfId="0" applyFill="1" applyBorder="1" applyAlignment="1">
      <alignment horizontal="left"/>
    </xf>
    <xf numFmtId="0" fontId="24" fillId="4" borderId="7" xfId="0" applyFont="1" applyFill="1" applyBorder="1" applyAlignment="1">
      <alignment horizontal="center" vertical="center"/>
    </xf>
    <xf numFmtId="0" fontId="1" fillId="4" borderId="7" xfId="0" applyFont="1" applyFill="1" applyBorder="1" applyAlignment="1">
      <alignment horizontal="center" vertical="center"/>
    </xf>
    <xf numFmtId="0" fontId="21" fillId="4" borderId="0" xfId="0" applyFont="1" applyFill="1" applyAlignment="1">
      <alignment horizontal="left"/>
    </xf>
    <xf numFmtId="0" fontId="11" fillId="4" borderId="7" xfId="0" applyFont="1" applyFill="1" applyBorder="1" applyAlignment="1">
      <alignment horizontal="left"/>
    </xf>
    <xf numFmtId="0" fontId="11" fillId="4" borderId="0" xfId="0" applyFont="1" applyFill="1" applyAlignment="1">
      <alignment horizontal="left" vertical="center" wrapText="1"/>
    </xf>
    <xf numFmtId="0" fontId="40" fillId="4" borderId="0" xfId="0" applyFont="1" applyFill="1" applyAlignment="1">
      <alignment horizontal="left" vertical="center" wrapText="1"/>
    </xf>
    <xf numFmtId="0" fontId="0" fillId="13" borderId="7" xfId="0" applyFill="1" applyBorder="1" applyAlignment="1">
      <alignment horizontal="center"/>
    </xf>
    <xf numFmtId="0" fontId="0" fillId="14" borderId="0" xfId="0" applyFill="1"/>
    <xf numFmtId="0" fontId="0" fillId="14" borderId="0" xfId="0" applyFill="1" applyAlignment="1">
      <alignment wrapText="1"/>
    </xf>
    <xf numFmtId="0" fontId="0" fillId="11" borderId="0" xfId="0" applyFill="1" applyAlignment="1">
      <alignment vertical="top" wrapText="1"/>
    </xf>
    <xf numFmtId="0" fontId="41" fillId="10" borderId="0" xfId="0" applyFont="1" applyFill="1" applyAlignment="1">
      <alignment horizontal="left"/>
    </xf>
    <xf numFmtId="0" fontId="4" fillId="11" borderId="0" xfId="0" applyFont="1" applyFill="1" applyAlignment="1">
      <alignment wrapText="1"/>
    </xf>
    <xf numFmtId="0" fontId="0" fillId="8" borderId="8" xfId="0" applyFill="1" applyBorder="1" applyAlignment="1">
      <alignment horizontal="right"/>
    </xf>
    <xf numFmtId="0" fontId="0" fillId="9" borderId="0" xfId="0" applyFill="1" applyAlignment="1">
      <alignment horizontal="left" vertical="center" wrapText="1"/>
    </xf>
    <xf numFmtId="0" fontId="15" fillId="0" borderId="0" xfId="1" applyFont="1" applyBorder="1" applyAlignment="1">
      <alignment horizontal="center" vertical="center" wrapText="1"/>
    </xf>
    <xf numFmtId="0" fontId="15" fillId="0" borderId="7" xfId="1" applyFont="1" applyBorder="1" applyAlignment="1">
      <alignment horizontal="center" vertical="center" wrapText="1"/>
    </xf>
    <xf numFmtId="0" fontId="15" fillId="13" borderId="7" xfId="0" applyFont="1" applyFill="1" applyBorder="1" applyAlignment="1">
      <alignment horizontal="center" vertical="center"/>
    </xf>
    <xf numFmtId="0" fontId="15" fillId="13" borderId="0" xfId="1" applyFont="1" applyFill="1" applyBorder="1" applyAlignment="1">
      <alignment horizontal="center" vertical="center" wrapText="1"/>
    </xf>
    <xf numFmtId="0" fontId="0" fillId="6" borderId="29" xfId="0" applyFill="1" applyBorder="1" applyAlignment="1">
      <alignment horizontal="center" vertical="center"/>
    </xf>
    <xf numFmtId="0" fontId="15" fillId="13" borderId="7" xfId="1" applyFont="1" applyFill="1" applyBorder="1" applyAlignment="1">
      <alignment horizontal="center" vertical="center" wrapText="1"/>
    </xf>
    <xf numFmtId="0" fontId="15" fillId="13" borderId="7" xfId="0" applyFont="1" applyFill="1" applyBorder="1" applyAlignment="1">
      <alignment horizontal="center"/>
    </xf>
    <xf numFmtId="0" fontId="15" fillId="0" borderId="7" xfId="0" applyFont="1" applyBorder="1" applyAlignment="1">
      <alignment horizontal="center"/>
    </xf>
    <xf numFmtId="0" fontId="15" fillId="0" borderId="7" xfId="1" applyFont="1" applyBorder="1" applyAlignment="1">
      <alignment horizontal="center" wrapText="1"/>
    </xf>
    <xf numFmtId="0" fontId="15" fillId="13" borderId="7" xfId="1" applyFont="1" applyFill="1" applyBorder="1" applyAlignment="1">
      <alignment horizontal="center" wrapText="1"/>
    </xf>
    <xf numFmtId="0" fontId="39" fillId="0" borderId="0" xfId="1" applyFont="1" applyBorder="1" applyAlignment="1">
      <alignment horizontal="center" vertical="center" wrapText="1"/>
    </xf>
    <xf numFmtId="164" fontId="0" fillId="14" borderId="7" xfId="0" applyNumberFormat="1" applyFill="1" applyBorder="1" applyAlignment="1">
      <alignment horizontal="center" wrapText="1"/>
    </xf>
    <xf numFmtId="164" fontId="0" fillId="14" borderId="7" xfId="0" applyNumberFormat="1" applyFill="1" applyBorder="1" applyAlignment="1">
      <alignment horizontal="center" vertical="center" wrapText="1"/>
    </xf>
    <xf numFmtId="0" fontId="0" fillId="14" borderId="7" xfId="0" applyFill="1" applyBorder="1" applyAlignment="1">
      <alignment horizontal="center" vertical="center" wrapText="1"/>
    </xf>
    <xf numFmtId="164" fontId="0" fillId="14" borderId="0" xfId="0" applyNumberFormat="1" applyFill="1" applyAlignment="1">
      <alignment horizontal="center" wrapText="1"/>
    </xf>
    <xf numFmtId="0" fontId="0" fillId="14" borderId="0" xfId="0" applyFill="1" applyAlignment="1">
      <alignment vertical="top"/>
    </xf>
    <xf numFmtId="0" fontId="1" fillId="14" borderId="0" xfId="0" applyFont="1" applyFill="1" applyAlignment="1">
      <alignment vertical="top"/>
    </xf>
    <xf numFmtId="0" fontId="15" fillId="13" borderId="0" xfId="0" applyFont="1" applyFill="1" applyAlignment="1">
      <alignment horizontal="center" vertical="center"/>
    </xf>
    <xf numFmtId="0" fontId="0" fillId="5" borderId="7" xfId="0" applyFill="1" applyBorder="1" applyAlignment="1">
      <alignment horizontal="center" vertical="center" wrapText="1"/>
    </xf>
    <xf numFmtId="0" fontId="15" fillId="5" borderId="7" xfId="1" applyFont="1" applyFill="1" applyBorder="1" applyAlignment="1">
      <alignment horizontal="center" vertical="center" wrapText="1"/>
    </xf>
    <xf numFmtId="0" fontId="1" fillId="0" borderId="48" xfId="0" applyFont="1" applyBorder="1" applyAlignment="1">
      <alignment horizontal="center" vertical="center" wrapText="1"/>
    </xf>
    <xf numFmtId="0" fontId="0" fillId="0" borderId="43" xfId="0" applyBorder="1" applyAlignment="1">
      <alignment horizontal="center"/>
    </xf>
    <xf numFmtId="0" fontId="0" fillId="0" borderId="43" xfId="0" applyBorder="1" applyAlignment="1">
      <alignment horizontal="center" vertical="center"/>
    </xf>
    <xf numFmtId="0" fontId="0" fillId="15" borderId="0" xfId="0" applyFill="1"/>
    <xf numFmtId="0" fontId="5" fillId="15" borderId="0" xfId="0" applyFont="1" applyFill="1"/>
    <xf numFmtId="0" fontId="0" fillId="16" borderId="0" xfId="0" applyFill="1"/>
    <xf numFmtId="0" fontId="0" fillId="16" borderId="0" xfId="0" applyFill="1" applyAlignment="1">
      <alignment wrapText="1"/>
    </xf>
    <xf numFmtId="0" fontId="1" fillId="16" borderId="0" xfId="0" applyFont="1" applyFill="1"/>
    <xf numFmtId="0" fontId="0" fillId="16" borderId="7" xfId="0" applyFill="1" applyBorder="1" applyAlignment="1">
      <alignment horizontal="center" vertical="center" wrapText="1"/>
    </xf>
    <xf numFmtId="164" fontId="0" fillId="16" borderId="7" xfId="0" applyNumberFormat="1" applyFill="1" applyBorder="1" applyAlignment="1">
      <alignment horizontal="center" vertical="center" wrapText="1"/>
    </xf>
    <xf numFmtId="0" fontId="0" fillId="17" borderId="0" xfId="0" applyFill="1"/>
    <xf numFmtId="0" fontId="0" fillId="15" borderId="0" xfId="0" applyFill="1" applyAlignment="1">
      <alignment wrapText="1"/>
    </xf>
    <xf numFmtId="0" fontId="1" fillId="15" borderId="0" xfId="0" applyFont="1" applyFill="1"/>
    <xf numFmtId="0" fontId="4" fillId="15" borderId="0" xfId="0" applyFont="1" applyFill="1"/>
    <xf numFmtId="0" fontId="5" fillId="15" borderId="0" xfId="0" applyFont="1" applyFill="1" applyAlignment="1">
      <alignment wrapText="1"/>
    </xf>
    <xf numFmtId="0" fontId="4" fillId="14" borderId="0" xfId="0" applyFont="1" applyFill="1"/>
    <xf numFmtId="0" fontId="4" fillId="14" borderId="0" xfId="0" applyFont="1" applyFill="1" applyAlignment="1">
      <alignment wrapText="1"/>
    </xf>
    <xf numFmtId="0" fontId="1" fillId="18" borderId="7" xfId="0" applyFont="1" applyFill="1" applyBorder="1" applyAlignment="1">
      <alignment horizontal="center" vertical="center" wrapText="1"/>
    </xf>
    <xf numFmtId="0" fontId="15" fillId="13" borderId="0" xfId="0" applyFont="1" applyFill="1" applyAlignment="1">
      <alignment horizontal="center"/>
    </xf>
    <xf numFmtId="0" fontId="15" fillId="0" borderId="0" xfId="1" applyFont="1" applyBorder="1" applyAlignment="1">
      <alignment horizontal="center" wrapText="1"/>
    </xf>
    <xf numFmtId="0" fontId="15" fillId="0" borderId="0" xfId="0" applyFont="1" applyAlignment="1">
      <alignment horizontal="center"/>
    </xf>
    <xf numFmtId="0" fontId="15" fillId="13" borderId="0" xfId="1" applyFont="1" applyFill="1" applyBorder="1" applyAlignment="1">
      <alignment horizontal="center" wrapText="1"/>
    </xf>
    <xf numFmtId="0" fontId="0" fillId="13" borderId="0" xfId="0" applyFill="1" applyAlignment="1">
      <alignment horizontal="center"/>
    </xf>
    <xf numFmtId="0" fontId="4" fillId="17" borderId="0" xfId="0" applyFont="1" applyFill="1"/>
    <xf numFmtId="0" fontId="0" fillId="17" borderId="0" xfId="0" applyFill="1" applyAlignment="1">
      <alignment wrapText="1"/>
    </xf>
    <xf numFmtId="0" fontId="5" fillId="16" borderId="0" xfId="0" applyFont="1" applyFill="1"/>
    <xf numFmtId="0" fontId="4" fillId="16" borderId="0" xfId="0" applyFont="1" applyFill="1"/>
    <xf numFmtId="0" fontId="42" fillId="0" borderId="7" xfId="0" applyFont="1" applyBorder="1" applyAlignment="1">
      <alignment horizontal="center" vertical="center"/>
    </xf>
    <xf numFmtId="0" fontId="42" fillId="0" borderId="0" xfId="1" applyFont="1" applyFill="1" applyBorder="1" applyAlignment="1">
      <alignment horizontal="center" vertical="center" wrapText="1"/>
    </xf>
    <xf numFmtId="0" fontId="12" fillId="4" borderId="7" xfId="0" applyFont="1" applyFill="1" applyBorder="1" applyAlignment="1">
      <alignment horizontal="center" vertical="center" wrapText="1"/>
    </xf>
    <xf numFmtId="0" fontId="0" fillId="16" borderId="0" xfId="0" applyFill="1" applyAlignment="1">
      <alignment horizontal="left" wrapText="1"/>
    </xf>
    <xf numFmtId="0" fontId="0" fillId="6" borderId="43" xfId="0" applyFill="1" applyBorder="1" applyAlignment="1">
      <alignment vertical="center" wrapText="1"/>
    </xf>
    <xf numFmtId="0" fontId="5" fillId="17" borderId="0" xfId="0" applyFont="1" applyFill="1"/>
    <xf numFmtId="0" fontId="12" fillId="0" borderId="7" xfId="0" applyFont="1" applyBorder="1" applyAlignment="1">
      <alignment horizontal="center" vertical="center"/>
    </xf>
    <xf numFmtId="0" fontId="2" fillId="0" borderId="25" xfId="1" applyBorder="1" applyAlignment="1">
      <alignment horizontal="center" wrapText="1"/>
    </xf>
    <xf numFmtId="2" fontId="0" fillId="0" borderId="0" xfId="0" applyNumberFormat="1"/>
    <xf numFmtId="0" fontId="0" fillId="15" borderId="0" xfId="0" applyFill="1" applyAlignment="1">
      <alignment horizontal="left" wrapText="1"/>
    </xf>
    <xf numFmtId="0" fontId="0" fillId="17" borderId="0" xfId="0" applyFill="1" applyAlignment="1">
      <alignment horizontal="center"/>
    </xf>
    <xf numFmtId="2" fontId="0" fillId="13" borderId="7" xfId="0" applyNumberFormat="1" applyFill="1" applyBorder="1" applyAlignment="1">
      <alignment horizontal="center" vertical="center"/>
    </xf>
    <xf numFmtId="2" fontId="11" fillId="0" borderId="0" xfId="0" applyNumberFormat="1" applyFont="1" applyAlignment="1">
      <alignment horizontal="center" vertical="center"/>
    </xf>
    <xf numFmtId="2" fontId="1" fillId="0" borderId="0" xfId="0" applyNumberFormat="1" applyFont="1" applyAlignment="1">
      <alignment horizontal="center" vertical="center" wrapText="1"/>
    </xf>
    <xf numFmtId="2" fontId="1" fillId="5" borderId="11" xfId="0" applyNumberFormat="1" applyFont="1" applyFill="1" applyBorder="1" applyAlignment="1">
      <alignment horizontal="center" vertical="center"/>
    </xf>
    <xf numFmtId="2" fontId="1" fillId="5" borderId="12" xfId="0" applyNumberFormat="1" applyFont="1" applyFill="1" applyBorder="1" applyAlignment="1">
      <alignment horizontal="center" vertical="center"/>
    </xf>
    <xf numFmtId="2" fontId="0" fillId="0" borderId="0" xfId="0" applyNumberFormat="1" applyAlignment="1">
      <alignment horizontal="center" vertical="center"/>
    </xf>
    <xf numFmtId="2" fontId="1" fillId="5" borderId="12" xfId="0" applyNumberFormat="1" applyFont="1" applyFill="1" applyBorder="1"/>
    <xf numFmtId="2" fontId="24" fillId="0" borderId="0" xfId="0" applyNumberFormat="1" applyFont="1"/>
    <xf numFmtId="2" fontId="25" fillId="0" borderId="0" xfId="0" applyNumberFormat="1" applyFont="1"/>
    <xf numFmtId="2" fontId="1" fillId="0" borderId="0" xfId="0" applyNumberFormat="1" applyFont="1" applyAlignment="1">
      <alignment horizontal="left" wrapText="1"/>
    </xf>
    <xf numFmtId="2" fontId="1" fillId="0" borderId="20" xfId="0" applyNumberFormat="1" applyFont="1" applyBorder="1" applyAlignment="1">
      <alignment horizontal="left" wrapText="1"/>
    </xf>
    <xf numFmtId="2" fontId="1" fillId="5" borderId="12" xfId="0" applyNumberFormat="1" applyFont="1" applyFill="1" applyBorder="1" applyAlignment="1">
      <alignment horizontal="left" vertical="center"/>
    </xf>
    <xf numFmtId="0" fontId="1" fillId="19" borderId="7" xfId="0" applyFont="1" applyFill="1" applyBorder="1" applyAlignment="1">
      <alignment horizontal="center" vertical="center" wrapText="1"/>
    </xf>
    <xf numFmtId="0" fontId="1" fillId="2" borderId="7" xfId="0" applyFont="1" applyFill="1" applyBorder="1" applyAlignment="1">
      <alignment vertical="center" wrapText="1"/>
    </xf>
    <xf numFmtId="0" fontId="2" fillId="0" borderId="7" xfId="1" applyBorder="1" applyAlignment="1">
      <alignment wrapText="1"/>
    </xf>
    <xf numFmtId="0" fontId="2" fillId="0" borderId="9" xfId="1" applyBorder="1" applyAlignment="1">
      <alignment wrapText="1"/>
    </xf>
    <xf numFmtId="0" fontId="1" fillId="19" borderId="7" xfId="0" applyFont="1" applyFill="1" applyBorder="1" applyAlignment="1">
      <alignment horizontal="center" vertical="center"/>
    </xf>
    <xf numFmtId="0" fontId="2" fillId="0" borderId="35" xfId="1" applyBorder="1" applyAlignment="1">
      <alignment horizontal="center" vertical="center" wrapText="1"/>
    </xf>
    <xf numFmtId="0" fontId="45" fillId="3" borderId="61" xfId="0" applyFont="1" applyFill="1" applyBorder="1" applyAlignment="1">
      <alignment vertical="top" wrapText="1"/>
    </xf>
    <xf numFmtId="3" fontId="45" fillId="3" borderId="61" xfId="0" applyNumberFormat="1" applyFont="1" applyFill="1" applyBorder="1" applyAlignment="1">
      <alignment vertical="top" wrapText="1"/>
    </xf>
    <xf numFmtId="3" fontId="45" fillId="0" borderId="7" xfId="0" applyNumberFormat="1" applyFont="1" applyBorder="1" applyAlignment="1">
      <alignment horizontal="center"/>
    </xf>
    <xf numFmtId="0" fontId="45" fillId="0" borderId="7" xfId="0" applyFont="1" applyBorder="1" applyAlignment="1">
      <alignment horizontal="center"/>
    </xf>
    <xf numFmtId="0" fontId="8" fillId="4" borderId="62" xfId="0" applyFont="1" applyFill="1" applyBorder="1" applyAlignment="1">
      <alignment horizontal="center" vertical="center" wrapText="1"/>
    </xf>
    <xf numFmtId="0" fontId="0" fillId="0" borderId="62" xfId="0" applyBorder="1" applyAlignment="1">
      <alignment horizontal="center" vertical="center"/>
    </xf>
    <xf numFmtId="0" fontId="8" fillId="4" borderId="64" xfId="0" applyFont="1" applyFill="1" applyBorder="1" applyAlignment="1">
      <alignment horizontal="center" vertical="center" wrapText="1"/>
    </xf>
    <xf numFmtId="0" fontId="45" fillId="3" borderId="7" xfId="0" applyFont="1" applyFill="1" applyBorder="1" applyAlignment="1">
      <alignment horizontal="center" wrapText="1"/>
    </xf>
    <xf numFmtId="0" fontId="48" fillId="0" borderId="7" xfId="0" applyFont="1" applyBorder="1" applyAlignment="1">
      <alignment horizontal="center"/>
    </xf>
    <xf numFmtId="0" fontId="47" fillId="4" borderId="0" xfId="0" applyFont="1" applyFill="1" applyAlignment="1">
      <alignment horizontal="center" wrapText="1"/>
    </xf>
    <xf numFmtId="0" fontId="48" fillId="0" borderId="0" xfId="0" applyFont="1" applyAlignment="1">
      <alignment horizontal="center"/>
    </xf>
    <xf numFmtId="0" fontId="0" fillId="0" borderId="66" xfId="0" applyBorder="1"/>
    <xf numFmtId="0" fontId="0" fillId="0" borderId="67" xfId="0" applyBorder="1"/>
    <xf numFmtId="3" fontId="45" fillId="3" borderId="7" xfId="0" applyNumberFormat="1" applyFont="1" applyFill="1" applyBorder="1" applyAlignment="1">
      <alignment horizontal="center" wrapText="1"/>
    </xf>
    <xf numFmtId="0" fontId="48" fillId="0" borderId="25" xfId="0" applyFont="1" applyBorder="1" applyAlignment="1">
      <alignment horizontal="center"/>
    </xf>
    <xf numFmtId="0" fontId="48" fillId="3" borderId="11" xfId="0" applyFont="1" applyFill="1" applyBorder="1" applyAlignment="1">
      <alignment horizontal="center" wrapText="1"/>
    </xf>
    <xf numFmtId="0" fontId="43" fillId="3" borderId="65" xfId="0" applyFont="1" applyFill="1" applyBorder="1" applyAlignment="1">
      <alignment horizontal="center" vertical="center" wrapText="1"/>
    </xf>
    <xf numFmtId="0" fontId="48" fillId="3" borderId="7" xfId="0" applyFont="1" applyFill="1" applyBorder="1" applyAlignment="1">
      <alignment horizontal="center" wrapText="1"/>
    </xf>
    <xf numFmtId="3" fontId="43" fillId="3" borderId="19" xfId="0" applyNumberFormat="1" applyFont="1" applyFill="1" applyBorder="1" applyAlignment="1">
      <alignment horizontal="center" vertical="center" wrapText="1"/>
    </xf>
    <xf numFmtId="0" fontId="43" fillId="3" borderId="19" xfId="0" applyFont="1" applyFill="1" applyBorder="1" applyAlignment="1">
      <alignment horizontal="center" vertical="center" wrapText="1"/>
    </xf>
    <xf numFmtId="3" fontId="43" fillId="0" borderId="19" xfId="0" applyNumberFormat="1" applyFont="1" applyBorder="1" applyAlignment="1">
      <alignment horizontal="center" vertical="center" wrapText="1"/>
    </xf>
    <xf numFmtId="0" fontId="48" fillId="0" borderId="1" xfId="0" applyFont="1" applyBorder="1" applyAlignment="1">
      <alignment horizontal="center" vertical="center"/>
    </xf>
    <xf numFmtId="0" fontId="0" fillId="14" borderId="7" xfId="0" applyFill="1" applyBorder="1" applyAlignment="1">
      <alignment horizontal="center"/>
    </xf>
    <xf numFmtId="0" fontId="0" fillId="14" borderId="7" xfId="0" applyFill="1" applyBorder="1" applyAlignment="1">
      <alignment horizontal="center" wrapText="1"/>
    </xf>
    <xf numFmtId="0" fontId="0" fillId="15" borderId="7" xfId="0" applyFill="1" applyBorder="1" applyAlignment="1">
      <alignment horizontal="center" vertical="center" wrapText="1"/>
    </xf>
    <xf numFmtId="164" fontId="0" fillId="15" borderId="7" xfId="0" applyNumberFormat="1" applyFill="1" applyBorder="1" applyAlignment="1">
      <alignment horizontal="center" vertical="center" wrapText="1"/>
    </xf>
    <xf numFmtId="0" fontId="0" fillId="15" borderId="0" xfId="0" applyFill="1" applyAlignment="1">
      <alignment horizontal="left" vertical="top" wrapText="1"/>
    </xf>
    <xf numFmtId="0" fontId="0" fillId="15" borderId="0" xfId="0" applyFill="1" applyAlignment="1">
      <alignment horizontal="right"/>
    </xf>
    <xf numFmtId="1" fontId="0" fillId="15" borderId="7" xfId="0" applyNumberFormat="1" applyFill="1" applyBorder="1" applyAlignment="1">
      <alignment horizontal="center" vertical="center"/>
    </xf>
    <xf numFmtId="2" fontId="0" fillId="15" borderId="7" xfId="0" applyNumberFormat="1" applyFill="1" applyBorder="1" applyAlignment="1">
      <alignment horizontal="center" vertical="center"/>
    </xf>
    <xf numFmtId="165" fontId="0" fillId="15" borderId="7" xfId="0" applyNumberFormat="1" applyFill="1" applyBorder="1" applyAlignment="1">
      <alignment horizontal="center" vertical="center"/>
    </xf>
    <xf numFmtId="166" fontId="0" fillId="15" borderId="7" xfId="0" applyNumberFormat="1" applyFill="1" applyBorder="1" applyAlignment="1">
      <alignment horizontal="center" vertical="center"/>
    </xf>
    <xf numFmtId="0" fontId="0" fillId="14" borderId="0" xfId="0" applyFill="1" applyAlignment="1">
      <alignment horizontal="center" vertical="center" wrapText="1"/>
    </xf>
    <xf numFmtId="167" fontId="0" fillId="10" borderId="7" xfId="0" applyNumberFormat="1" applyFill="1" applyBorder="1" applyAlignment="1">
      <alignment horizontal="center" vertical="center" wrapText="1"/>
    </xf>
    <xf numFmtId="167" fontId="0" fillId="10" borderId="7" xfId="0" applyNumberFormat="1" applyFill="1" applyBorder="1" applyAlignment="1">
      <alignment horizontal="center" vertical="center"/>
    </xf>
    <xf numFmtId="167" fontId="0" fillId="12" borderId="7" xfId="0" applyNumberFormat="1" applyFill="1" applyBorder="1" applyAlignment="1">
      <alignment horizontal="center" vertical="center"/>
    </xf>
    <xf numFmtId="167" fontId="0" fillId="9" borderId="7" xfId="0" applyNumberFormat="1" applyFill="1" applyBorder="1" applyAlignment="1">
      <alignment horizontal="center" vertical="center"/>
    </xf>
    <xf numFmtId="167" fontId="0" fillId="11" borderId="7" xfId="0" applyNumberFormat="1" applyFill="1" applyBorder="1" applyAlignment="1">
      <alignment horizontal="center" vertical="center" wrapText="1"/>
    </xf>
    <xf numFmtId="167" fontId="0" fillId="11" borderId="7" xfId="0" applyNumberFormat="1" applyFill="1" applyBorder="1" applyAlignment="1">
      <alignment horizontal="center" vertical="center"/>
    </xf>
    <xf numFmtId="167" fontId="0" fillId="14" borderId="7" xfId="0" applyNumberFormat="1" applyFill="1" applyBorder="1" applyAlignment="1">
      <alignment horizontal="center" vertical="center" wrapText="1"/>
    </xf>
    <xf numFmtId="167" fontId="0" fillId="15" borderId="7" xfId="0" applyNumberFormat="1" applyFill="1" applyBorder="1" applyAlignment="1">
      <alignment horizontal="center" vertical="center"/>
    </xf>
    <xf numFmtId="0" fontId="1" fillId="15" borderId="0" xfId="0" applyFont="1" applyFill="1" applyAlignment="1">
      <alignment horizontal="left"/>
    </xf>
    <xf numFmtId="0" fontId="0" fillId="15" borderId="25" xfId="0" applyFill="1" applyBorder="1" applyAlignment="1">
      <alignment horizontal="center" vertical="center" wrapText="1"/>
    </xf>
    <xf numFmtId="0" fontId="0" fillId="14" borderId="25" xfId="0" applyFill="1" applyBorder="1" applyAlignment="1">
      <alignment horizontal="center" wrapText="1"/>
    </xf>
    <xf numFmtId="0" fontId="1" fillId="14" borderId="7" xfId="0" applyFont="1" applyFill="1" applyBorder="1" applyAlignment="1">
      <alignment horizontal="center" vertical="center" wrapText="1"/>
    </xf>
    <xf numFmtId="164" fontId="1" fillId="14" borderId="7" xfId="0" applyNumberFormat="1" applyFont="1" applyFill="1" applyBorder="1" applyAlignment="1">
      <alignment horizontal="center" vertical="center" wrapText="1"/>
    </xf>
    <xf numFmtId="167" fontId="1" fillId="14" borderId="7" xfId="0" applyNumberFormat="1" applyFont="1" applyFill="1" applyBorder="1" applyAlignment="1">
      <alignment horizontal="center" vertical="center" wrapText="1"/>
    </xf>
    <xf numFmtId="0" fontId="1" fillId="15" borderId="7" xfId="0" applyFont="1" applyFill="1" applyBorder="1" applyAlignment="1">
      <alignment horizontal="center" vertical="center" wrapText="1"/>
    </xf>
    <xf numFmtId="165" fontId="0" fillId="15" borderId="25" xfId="0" applyNumberFormat="1" applyFill="1" applyBorder="1" applyAlignment="1">
      <alignment horizontal="center" vertical="center"/>
    </xf>
    <xf numFmtId="2" fontId="0" fillId="15" borderId="7" xfId="0" applyNumberFormat="1" applyFill="1" applyBorder="1" applyAlignment="1">
      <alignment horizontal="center" vertical="center" wrapText="1"/>
    </xf>
    <xf numFmtId="1" fontId="0" fillId="15" borderId="7" xfId="0" applyNumberFormat="1" applyFill="1" applyBorder="1" applyAlignment="1">
      <alignment horizontal="center" vertical="center" wrapText="1"/>
    </xf>
    <xf numFmtId="0" fontId="0" fillId="17" borderId="7" xfId="0" applyFill="1" applyBorder="1"/>
    <xf numFmtId="0" fontId="1" fillId="17" borderId="7" xfId="0" applyFont="1" applyFill="1" applyBorder="1" applyAlignment="1">
      <alignment horizontal="center" vertical="center" wrapText="1"/>
    </xf>
    <xf numFmtId="167" fontId="1" fillId="17" borderId="7" xfId="0" applyNumberFormat="1" applyFont="1" applyFill="1" applyBorder="1" applyAlignment="1">
      <alignment horizontal="center" vertical="center" wrapText="1"/>
    </xf>
    <xf numFmtId="1" fontId="0" fillId="17" borderId="7" xfId="0" applyNumberFormat="1" applyFill="1" applyBorder="1" applyAlignment="1">
      <alignment horizontal="center" vertical="center" wrapText="1"/>
    </xf>
    <xf numFmtId="0" fontId="0" fillId="17" borderId="7" xfId="0" applyFill="1" applyBorder="1" applyAlignment="1">
      <alignment horizontal="center" vertical="center" wrapText="1"/>
    </xf>
    <xf numFmtId="0" fontId="0" fillId="17" borderId="7" xfId="0" applyFill="1" applyBorder="1" applyAlignment="1">
      <alignment horizontal="center"/>
    </xf>
    <xf numFmtId="0" fontId="0" fillId="17" borderId="7" xfId="0" applyFill="1" applyBorder="1" applyAlignment="1">
      <alignment horizontal="center" vertical="center"/>
    </xf>
    <xf numFmtId="0" fontId="0" fillId="17" borderId="25" xfId="0" applyFill="1" applyBorder="1"/>
    <xf numFmtId="0" fontId="0" fillId="17" borderId="0" xfId="0" applyFill="1" applyAlignment="1">
      <alignment horizontal="right"/>
    </xf>
    <xf numFmtId="0" fontId="1" fillId="17" borderId="0" xfId="0" applyFont="1" applyFill="1"/>
    <xf numFmtId="2" fontId="0" fillId="5" borderId="17" xfId="0" applyNumberFormat="1" applyFill="1" applyBorder="1" applyAlignment="1">
      <alignment horizontal="center" vertical="center"/>
    </xf>
    <xf numFmtId="0" fontId="0" fillId="17" borderId="0" xfId="0" applyFill="1" applyAlignment="1">
      <alignment horizontal="right" wrapText="1"/>
    </xf>
    <xf numFmtId="9" fontId="0" fillId="14" borderId="7" xfId="0" applyNumberFormat="1" applyFill="1" applyBorder="1" applyAlignment="1">
      <alignment horizontal="center" vertical="center" wrapText="1"/>
    </xf>
    <xf numFmtId="0" fontId="0" fillId="17" borderId="0" xfId="0" applyFill="1" applyAlignment="1">
      <alignment horizontal="center" vertical="center" wrapText="1"/>
    </xf>
    <xf numFmtId="0" fontId="0" fillId="17" borderId="25" xfId="0" applyFill="1" applyBorder="1" applyAlignment="1">
      <alignment horizontal="center" vertical="center" wrapText="1"/>
    </xf>
    <xf numFmtId="0" fontId="0" fillId="10" borderId="0" xfId="0" applyFill="1" applyAlignment="1">
      <alignment horizontal="center" vertical="center" wrapText="1"/>
    </xf>
    <xf numFmtId="0" fontId="0" fillId="12" borderId="7" xfId="0" applyFill="1" applyBorder="1" applyAlignment="1">
      <alignment horizontal="center" vertical="center" wrapText="1"/>
    </xf>
    <xf numFmtId="0" fontId="5" fillId="9" borderId="0" xfId="0" applyFont="1" applyFill="1" applyAlignment="1">
      <alignment horizontal="center" vertical="center" wrapText="1"/>
    </xf>
    <xf numFmtId="0" fontId="32" fillId="9" borderId="0" xfId="0" applyFont="1" applyFill="1" applyAlignment="1">
      <alignment horizontal="center" vertical="center" wrapText="1"/>
    </xf>
    <xf numFmtId="0" fontId="0" fillId="9" borderId="0" xfId="0" applyFill="1" applyAlignment="1">
      <alignment horizontal="center" vertical="center" wrapText="1"/>
    </xf>
    <xf numFmtId="0" fontId="0" fillId="11" borderId="0" xfId="0" applyFill="1" applyAlignment="1">
      <alignment horizontal="center" vertical="center" wrapText="1"/>
    </xf>
    <xf numFmtId="0" fontId="0" fillId="15" borderId="0" xfId="0" applyFill="1" applyAlignment="1">
      <alignment horizontal="center" vertical="center" wrapText="1"/>
    </xf>
    <xf numFmtId="0" fontId="0" fillId="16" borderId="0" xfId="0" applyFill="1" applyAlignment="1">
      <alignment horizontal="center" vertical="center" wrapText="1"/>
    </xf>
    <xf numFmtId="0" fontId="0" fillId="13" borderId="25" xfId="0" applyFill="1" applyBorder="1" applyAlignment="1">
      <alignment horizontal="center" vertical="center" wrapText="1"/>
    </xf>
    <xf numFmtId="0" fontId="32" fillId="11" borderId="7"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1" fillId="11" borderId="7" xfId="0" applyFont="1" applyFill="1" applyBorder="1" applyAlignment="1">
      <alignment horizontal="center"/>
    </xf>
    <xf numFmtId="2" fontId="0" fillId="11" borderId="7" xfId="0" applyNumberFormat="1" applyFill="1" applyBorder="1" applyAlignment="1">
      <alignment horizontal="center" vertical="center"/>
    </xf>
    <xf numFmtId="0" fontId="1" fillId="11" borderId="0" xfId="0" applyFont="1" applyFill="1"/>
    <xf numFmtId="0" fontId="1" fillId="18" borderId="29" xfId="0" applyFont="1" applyFill="1" applyBorder="1" applyAlignment="1">
      <alignment horizontal="center" vertical="center" wrapText="1"/>
    </xf>
    <xf numFmtId="2" fontId="24" fillId="0" borderId="7" xfId="0" applyNumberFormat="1" applyFont="1" applyBorder="1" applyAlignment="1">
      <alignment horizontal="center" vertical="center"/>
    </xf>
    <xf numFmtId="0" fontId="0" fillId="0" borderId="29" xfId="0" applyBorder="1" applyAlignment="1">
      <alignment horizontal="right"/>
    </xf>
    <xf numFmtId="0" fontId="0" fillId="0" borderId="28" xfId="0" applyBorder="1" applyAlignment="1">
      <alignment horizontal="right"/>
    </xf>
    <xf numFmtId="2" fontId="24" fillId="6" borderId="7" xfId="0" applyNumberFormat="1" applyFont="1" applyFill="1" applyBorder="1" applyAlignment="1">
      <alignment horizontal="center" vertical="center"/>
    </xf>
    <xf numFmtId="0" fontId="0" fillId="6" borderId="29" xfId="0" applyFill="1" applyBorder="1" applyAlignment="1">
      <alignment horizontal="left"/>
    </xf>
    <xf numFmtId="0" fontId="0" fillId="22" borderId="8" xfId="0" applyFill="1" applyBorder="1" applyAlignment="1">
      <alignment horizontal="right"/>
    </xf>
    <xf numFmtId="0" fontId="1" fillId="22" borderId="8" xfId="0" applyFont="1" applyFill="1" applyBorder="1"/>
    <xf numFmtId="0" fontId="1" fillId="0" borderId="7" xfId="0" applyFont="1" applyBorder="1"/>
    <xf numFmtId="0" fontId="0" fillId="4" borderId="29" xfId="0" applyFill="1" applyBorder="1" applyAlignment="1">
      <alignment horizontal="center" vertical="center" wrapText="1"/>
    </xf>
    <xf numFmtId="0" fontId="0" fillId="13" borderId="7" xfId="0" applyFill="1" applyBorder="1" applyAlignment="1">
      <alignment horizontal="center" vertical="center" wrapText="1"/>
    </xf>
    <xf numFmtId="0" fontId="7" fillId="0" borderId="7" xfId="0" applyFont="1" applyBorder="1" applyAlignment="1">
      <alignment horizontal="center" vertical="center" wrapText="1"/>
    </xf>
    <xf numFmtId="0" fontId="0" fillId="0" borderId="7" xfId="0" applyBorder="1" applyAlignment="1">
      <alignment vertical="center"/>
    </xf>
    <xf numFmtId="2" fontId="24" fillId="0" borderId="29" xfId="0" applyNumberFormat="1" applyFont="1" applyBorder="1" applyAlignment="1">
      <alignment horizontal="center" vertical="center"/>
    </xf>
    <xf numFmtId="2" fontId="24" fillId="6" borderId="29" xfId="0" applyNumberFormat="1" applyFont="1" applyFill="1" applyBorder="1" applyAlignment="1">
      <alignment horizontal="center" vertical="center"/>
    </xf>
    <xf numFmtId="0" fontId="0" fillId="0" borderId="1" xfId="0" applyBorder="1" applyAlignment="1">
      <alignment horizontal="center" vertical="center" wrapText="1"/>
    </xf>
    <xf numFmtId="0" fontId="0" fillId="0" borderId="25" xfId="0" applyBorder="1" applyAlignment="1">
      <alignment horizontal="right" vertical="center" wrapText="1"/>
    </xf>
    <xf numFmtId="0" fontId="0" fillId="0" borderId="37" xfId="0" applyBorder="1" applyAlignment="1">
      <alignment horizontal="center"/>
    </xf>
    <xf numFmtId="0" fontId="0" fillId="0" borderId="62" xfId="0" applyBorder="1" applyAlignment="1">
      <alignment horizontal="center"/>
    </xf>
    <xf numFmtId="0" fontId="0" fillId="0" borderId="36" xfId="0" applyBorder="1" applyAlignment="1">
      <alignment horizontal="center" vertical="center"/>
    </xf>
    <xf numFmtId="0" fontId="0" fillId="0" borderId="64" xfId="0" applyBorder="1" applyAlignment="1">
      <alignment horizontal="center" vertical="center"/>
    </xf>
    <xf numFmtId="0" fontId="49" fillId="0" borderId="7" xfId="0" applyFont="1" applyBorder="1" applyAlignment="1">
      <alignment horizontal="center" vertical="center" wrapText="1"/>
    </xf>
    <xf numFmtId="0" fontId="0" fillId="0" borderId="1" xfId="0" applyBorder="1" applyAlignment="1">
      <alignment horizontal="right" vertical="center" wrapText="1"/>
    </xf>
    <xf numFmtId="0" fontId="0" fillId="16" borderId="0" xfId="0" applyFill="1" applyAlignment="1">
      <alignment horizontal="center"/>
    </xf>
    <xf numFmtId="167" fontId="1" fillId="15" borderId="7" xfId="0" applyNumberFormat="1" applyFont="1" applyFill="1" applyBorder="1" applyAlignment="1">
      <alignment horizontal="center" vertical="center" wrapText="1"/>
    </xf>
    <xf numFmtId="167" fontId="0" fillId="10" borderId="0" xfId="0" applyNumberFormat="1" applyFill="1" applyAlignment="1">
      <alignment horizontal="center" vertical="center"/>
    </xf>
    <xf numFmtId="167" fontId="5" fillId="9" borderId="0" xfId="0" applyNumberFormat="1" applyFont="1" applyFill="1" applyAlignment="1">
      <alignment horizontal="center" vertical="center"/>
    </xf>
    <xf numFmtId="167" fontId="32" fillId="9" borderId="0" xfId="0" applyNumberFormat="1" applyFont="1" applyFill="1" applyAlignment="1">
      <alignment horizontal="center" vertical="center"/>
    </xf>
    <xf numFmtId="167" fontId="0" fillId="9" borderId="7" xfId="0" applyNumberFormat="1" applyFill="1" applyBorder="1" applyAlignment="1">
      <alignment horizontal="center" vertical="center" wrapText="1"/>
    </xf>
    <xf numFmtId="167" fontId="0" fillId="9" borderId="0" xfId="0" applyNumberFormat="1" applyFill="1" applyAlignment="1">
      <alignment horizontal="center" vertical="center"/>
    </xf>
    <xf numFmtId="0" fontId="5" fillId="11" borderId="0" xfId="0" applyFont="1" applyFill="1" applyAlignment="1">
      <alignment horizontal="center" vertical="center" wrapText="1"/>
    </xf>
    <xf numFmtId="167" fontId="5" fillId="11" borderId="0" xfId="0" applyNumberFormat="1" applyFont="1" applyFill="1" applyAlignment="1">
      <alignment horizontal="center" vertical="center" wrapText="1"/>
    </xf>
    <xf numFmtId="167" fontId="32" fillId="11" borderId="7" xfId="0" applyNumberFormat="1" applyFont="1" applyFill="1" applyBorder="1" applyAlignment="1">
      <alignment horizontal="center" vertical="center" wrapText="1"/>
    </xf>
    <xf numFmtId="0" fontId="32" fillId="11" borderId="0" xfId="0" applyFont="1" applyFill="1" applyAlignment="1">
      <alignment horizontal="center" vertical="center" wrapText="1"/>
    </xf>
    <xf numFmtId="164" fontId="0" fillId="11" borderId="0" xfId="0" applyNumberFormat="1" applyFill="1" applyAlignment="1">
      <alignment horizontal="center" vertical="center" wrapText="1"/>
    </xf>
    <xf numFmtId="167" fontId="0" fillId="11" borderId="0" xfId="0" applyNumberFormat="1" applyFill="1" applyAlignment="1">
      <alignment horizontal="center" vertical="center" wrapText="1"/>
    </xf>
    <xf numFmtId="167" fontId="0" fillId="11" borderId="0" xfId="0" applyNumberFormat="1" applyFill="1" applyAlignment="1">
      <alignment horizontal="center" vertical="center"/>
    </xf>
    <xf numFmtId="167" fontId="0" fillId="14" borderId="0" xfId="0" applyNumberFormat="1" applyFill="1" applyAlignment="1">
      <alignment horizontal="center" vertical="center"/>
    </xf>
    <xf numFmtId="167" fontId="0" fillId="14" borderId="0" xfId="0" applyNumberFormat="1" applyFill="1" applyAlignment="1">
      <alignment horizontal="center" vertical="center" wrapText="1"/>
    </xf>
    <xf numFmtId="164" fontId="0" fillId="14" borderId="25" xfId="0" applyNumberFormat="1" applyFill="1" applyBorder="1" applyAlignment="1">
      <alignment horizontal="center" vertical="center" wrapText="1"/>
    </xf>
    <xf numFmtId="167" fontId="0" fillId="14" borderId="25" xfId="0" applyNumberFormat="1" applyFill="1" applyBorder="1" applyAlignment="1">
      <alignment horizontal="center" vertical="center" wrapText="1"/>
    </xf>
    <xf numFmtId="167" fontId="0" fillId="14" borderId="7" xfId="0" applyNumberFormat="1" applyFill="1" applyBorder="1" applyAlignment="1">
      <alignment horizontal="center" vertical="center"/>
    </xf>
    <xf numFmtId="167" fontId="0" fillId="15" borderId="0" xfId="0" applyNumberFormat="1" applyFill="1" applyAlignment="1">
      <alignment horizontal="center" vertical="center"/>
    </xf>
    <xf numFmtId="164" fontId="0" fillId="15" borderId="7" xfId="0" applyNumberFormat="1" applyFill="1" applyBorder="1" applyAlignment="1">
      <alignment horizontal="center" vertical="center"/>
    </xf>
    <xf numFmtId="2" fontId="0" fillId="15" borderId="25" xfId="0" applyNumberFormat="1" applyFill="1" applyBorder="1" applyAlignment="1">
      <alignment horizontal="center" vertical="center"/>
    </xf>
    <xf numFmtId="167" fontId="0" fillId="16" borderId="0" xfId="0" applyNumberFormat="1" applyFill="1" applyAlignment="1">
      <alignment horizontal="center" vertical="center"/>
    </xf>
    <xf numFmtId="167" fontId="0" fillId="5" borderId="7" xfId="0" applyNumberFormat="1" applyFill="1" applyBorder="1" applyAlignment="1">
      <alignment horizontal="center" vertical="center"/>
    </xf>
    <xf numFmtId="167" fontId="0" fillId="16" borderId="7" xfId="0" applyNumberFormat="1" applyFill="1" applyBorder="1" applyAlignment="1">
      <alignment horizontal="center" vertical="center"/>
    </xf>
    <xf numFmtId="167" fontId="0" fillId="17" borderId="0" xfId="0" applyNumberFormat="1" applyFill="1" applyAlignment="1">
      <alignment horizontal="center" vertical="center"/>
    </xf>
    <xf numFmtId="167" fontId="0" fillId="17" borderId="7" xfId="0" applyNumberFormat="1" applyFill="1" applyBorder="1" applyAlignment="1">
      <alignment horizontal="center" vertical="center"/>
    </xf>
    <xf numFmtId="167" fontId="0" fillId="17" borderId="7" xfId="0" applyNumberFormat="1" applyFill="1" applyBorder="1" applyAlignment="1">
      <alignment horizontal="center" vertical="center" wrapText="1"/>
    </xf>
    <xf numFmtId="167" fontId="0" fillId="17" borderId="25" xfId="0" applyNumberFormat="1" applyFill="1" applyBorder="1" applyAlignment="1">
      <alignment horizontal="center" vertical="center"/>
    </xf>
    <xf numFmtId="167" fontId="0" fillId="0" borderId="0" xfId="0" applyNumberFormat="1" applyAlignment="1">
      <alignment horizontal="center" vertical="center"/>
    </xf>
    <xf numFmtId="166" fontId="0" fillId="16" borderId="7" xfId="0" applyNumberFormat="1" applyFill="1" applyBorder="1" applyAlignment="1">
      <alignment horizontal="center" vertical="center"/>
    </xf>
    <xf numFmtId="168" fontId="0" fillId="16" borderId="7" xfId="0" applyNumberFormat="1" applyFill="1" applyBorder="1" applyAlignment="1">
      <alignment horizontal="center" vertical="center"/>
    </xf>
    <xf numFmtId="165" fontId="0" fillId="16" borderId="7" xfId="0" applyNumberFormat="1" applyFill="1" applyBorder="1" applyAlignment="1">
      <alignment horizontal="center" vertical="center"/>
    </xf>
    <xf numFmtId="2" fontId="0" fillId="16" borderId="7" xfId="0" applyNumberFormat="1" applyFill="1" applyBorder="1" applyAlignment="1">
      <alignment horizontal="center" vertical="center"/>
    </xf>
    <xf numFmtId="1" fontId="0" fillId="16" borderId="7" xfId="0" applyNumberFormat="1" applyFill="1" applyBorder="1" applyAlignment="1">
      <alignment horizontal="center" vertical="center"/>
    </xf>
    <xf numFmtId="167" fontId="0" fillId="6" borderId="7" xfId="0" applyNumberFormat="1" applyFill="1" applyBorder="1" applyAlignment="1">
      <alignment horizontal="center" vertical="center"/>
    </xf>
    <xf numFmtId="0" fontId="0" fillId="0" borderId="5" xfId="0" applyBorder="1" applyAlignment="1">
      <alignment horizontal="left" vertical="center" wrapText="1"/>
    </xf>
    <xf numFmtId="0" fontId="0" fillId="0" borderId="5" xfId="0" applyBorder="1" applyAlignment="1">
      <alignment horizontal="left" wrapText="1"/>
    </xf>
    <xf numFmtId="0" fontId="11" fillId="4" borderId="16" xfId="0" applyFont="1" applyFill="1" applyBorder="1" applyAlignment="1">
      <alignment vertical="center" wrapText="1"/>
    </xf>
    <xf numFmtId="0" fontId="5" fillId="5" borderId="16" xfId="0" applyFont="1" applyFill="1" applyBorder="1" applyAlignment="1">
      <alignment vertical="center" wrapText="1"/>
    </xf>
    <xf numFmtId="0" fontId="8" fillId="4" borderId="0" xfId="0" applyFont="1" applyFill="1"/>
    <xf numFmtId="0" fontId="0" fillId="0" borderId="0" xfId="1" applyFont="1" applyBorder="1" applyAlignment="1">
      <alignment horizontal="center" vertical="center" wrapText="1"/>
    </xf>
    <xf numFmtId="0" fontId="42" fillId="0" borderId="0" xfId="1" applyFont="1" applyBorder="1" applyAlignment="1">
      <alignment horizontal="center" vertical="center" wrapText="1"/>
    </xf>
    <xf numFmtId="0" fontId="1" fillId="5" borderId="62" xfId="0" applyFont="1" applyFill="1" applyBorder="1" applyAlignment="1">
      <alignment horizontal="center" vertical="center" wrapText="1"/>
    </xf>
    <xf numFmtId="0" fontId="21" fillId="20" borderId="71" xfId="0" applyFont="1" applyFill="1" applyBorder="1"/>
    <xf numFmtId="0" fontId="0" fillId="0" borderId="72" xfId="0" applyBorder="1" applyAlignment="1">
      <alignment horizontal="center" vertical="center"/>
    </xf>
    <xf numFmtId="0" fontId="42" fillId="0" borderId="72" xfId="1" applyFont="1" applyBorder="1" applyAlignment="1">
      <alignment horizontal="center" vertical="center" wrapText="1"/>
    </xf>
    <xf numFmtId="0" fontId="0" fillId="20" borderId="72" xfId="0" applyFill="1" applyBorder="1" applyAlignment="1">
      <alignment horizontal="center" vertical="center"/>
    </xf>
    <xf numFmtId="0" fontId="0" fillId="20" borderId="73" xfId="0" applyFill="1" applyBorder="1" applyAlignment="1">
      <alignment horizontal="center" vertical="center"/>
    </xf>
    <xf numFmtId="164" fontId="0" fillId="15" borderId="0" xfId="0" applyNumberFormat="1" applyFill="1" applyAlignment="1">
      <alignment horizontal="center" vertical="center" wrapText="1"/>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2" fontId="1" fillId="5" borderId="1" xfId="0" applyNumberFormat="1" applyFont="1" applyFill="1" applyBorder="1" applyAlignment="1">
      <alignment horizontal="center" vertical="center"/>
    </xf>
    <xf numFmtId="2" fontId="11" fillId="4" borderId="1" xfId="0" applyNumberFormat="1" applyFont="1" applyFill="1" applyBorder="1" applyAlignment="1">
      <alignment horizontal="center" vertical="center"/>
    </xf>
    <xf numFmtId="2" fontId="0" fillId="13" borderId="1" xfId="0" applyNumberFormat="1" applyFill="1" applyBorder="1" applyAlignment="1">
      <alignment horizontal="center" vertical="center"/>
    </xf>
    <xf numFmtId="2" fontId="1" fillId="6" borderId="1" xfId="0" applyNumberFormat="1" applyFont="1" applyFill="1" applyBorder="1" applyAlignment="1">
      <alignment horizontal="center" vertical="center"/>
    </xf>
    <xf numFmtId="2" fontId="25" fillId="21" borderId="1" xfId="0" applyNumberFormat="1" applyFont="1" applyFill="1" applyBorder="1" applyAlignment="1">
      <alignment horizontal="center" vertical="center"/>
    </xf>
    <xf numFmtId="2" fontId="0" fillId="5" borderId="1" xfId="0" applyNumberFormat="1" applyFill="1" applyBorder="1" applyAlignment="1">
      <alignment horizontal="center" vertical="center"/>
    </xf>
    <xf numFmtId="0" fontId="1" fillId="5" borderId="74" xfId="0" applyFont="1" applyFill="1" applyBorder="1"/>
    <xf numFmtId="2" fontId="1" fillId="5" borderId="75" xfId="0" applyNumberFormat="1" applyFont="1" applyFill="1" applyBorder="1" applyAlignment="1">
      <alignment horizontal="center" vertical="center"/>
    </xf>
    <xf numFmtId="2" fontId="1" fillId="5" borderId="76" xfId="0" applyNumberFormat="1" applyFont="1" applyFill="1" applyBorder="1" applyAlignment="1">
      <alignment horizontal="center" vertical="center"/>
    </xf>
    <xf numFmtId="0" fontId="12" fillId="4" borderId="77" xfId="0" applyFont="1" applyFill="1" applyBorder="1"/>
    <xf numFmtId="0" fontId="1" fillId="0" borderId="77" xfId="0" applyFont="1" applyBorder="1"/>
    <xf numFmtId="0" fontId="0" fillId="8" borderId="77" xfId="0" applyFill="1" applyBorder="1" applyAlignment="1">
      <alignment horizontal="right"/>
    </xf>
    <xf numFmtId="0" fontId="1" fillId="6" borderId="77" xfId="0" applyFont="1" applyFill="1" applyBorder="1"/>
    <xf numFmtId="2" fontId="1" fillId="6" borderId="78" xfId="0" applyNumberFormat="1" applyFont="1" applyFill="1" applyBorder="1" applyAlignment="1">
      <alignment horizontal="center" vertical="center"/>
    </xf>
    <xf numFmtId="0" fontId="12" fillId="4" borderId="77" xfId="0" applyFont="1" applyFill="1" applyBorder="1" applyAlignment="1">
      <alignment horizontal="left"/>
    </xf>
    <xf numFmtId="0" fontId="1" fillId="0" borderId="77" xfId="0" applyFont="1" applyBorder="1" applyAlignment="1">
      <alignment horizontal="left"/>
    </xf>
    <xf numFmtId="0" fontId="12" fillId="4" borderId="79" xfId="0" applyFont="1" applyFill="1" applyBorder="1"/>
    <xf numFmtId="2" fontId="11" fillId="4" borderId="80" xfId="0" applyNumberFormat="1" applyFont="1" applyFill="1" applyBorder="1" applyAlignment="1">
      <alignment horizontal="center" vertical="center"/>
    </xf>
    <xf numFmtId="0" fontId="0" fillId="17" borderId="7" xfId="0" applyFill="1" applyBorder="1" applyAlignment="1">
      <alignment wrapText="1"/>
    </xf>
    <xf numFmtId="167" fontId="0" fillId="21" borderId="7" xfId="0" applyNumberFormat="1" applyFill="1" applyBorder="1" applyAlignment="1">
      <alignment horizontal="center" vertical="center" wrapText="1"/>
    </xf>
    <xf numFmtId="0" fontId="0" fillId="21" borderId="7" xfId="0" applyFill="1" applyBorder="1" applyAlignment="1">
      <alignment horizontal="center" vertical="center" wrapText="1"/>
    </xf>
    <xf numFmtId="0" fontId="0" fillId="21" borderId="7" xfId="0" applyFill="1" applyBorder="1" applyAlignment="1">
      <alignment horizontal="center"/>
    </xf>
    <xf numFmtId="164" fontId="0" fillId="10" borderId="0" xfId="0" applyNumberFormat="1" applyFill="1" applyAlignment="1">
      <alignment horizontal="center" vertical="center" wrapText="1"/>
    </xf>
    <xf numFmtId="164" fontId="33" fillId="10" borderId="0" xfId="0" applyNumberFormat="1" applyFont="1" applyFill="1" applyAlignment="1">
      <alignment horizontal="center" vertical="center" wrapText="1"/>
    </xf>
    <xf numFmtId="164" fontId="34" fillId="10" borderId="0" xfId="0" applyNumberFormat="1" applyFont="1" applyFill="1" applyAlignment="1">
      <alignment horizontal="center" vertical="center" wrapText="1"/>
    </xf>
    <xf numFmtId="164" fontId="34" fillId="10" borderId="7" xfId="0" applyNumberFormat="1" applyFont="1" applyFill="1" applyBorder="1" applyAlignment="1">
      <alignment horizontal="center" vertical="center" wrapText="1"/>
    </xf>
    <xf numFmtId="164" fontId="0" fillId="10" borderId="7" xfId="0" applyNumberFormat="1" applyFill="1" applyBorder="1" applyAlignment="1">
      <alignment horizontal="center" vertical="center" wrapText="1"/>
    </xf>
    <xf numFmtId="165" fontId="0" fillId="10" borderId="7" xfId="0" applyNumberFormat="1" applyFill="1" applyBorder="1" applyAlignment="1">
      <alignment horizontal="center" vertical="center" wrapText="1"/>
    </xf>
    <xf numFmtId="164" fontId="5" fillId="9" borderId="0" xfId="0" applyNumberFormat="1" applyFont="1" applyFill="1" applyAlignment="1">
      <alignment horizontal="center" vertical="center" wrapText="1"/>
    </xf>
    <xf numFmtId="164" fontId="32" fillId="9" borderId="0" xfId="0" applyNumberFormat="1" applyFont="1" applyFill="1" applyAlignment="1">
      <alignment horizontal="center" vertical="center" wrapText="1"/>
    </xf>
    <xf numFmtId="164" fontId="32" fillId="9" borderId="7" xfId="0" applyNumberFormat="1" applyFont="1" applyFill="1" applyBorder="1" applyAlignment="1">
      <alignment horizontal="center" vertical="center" wrapText="1"/>
    </xf>
    <xf numFmtId="165" fontId="0" fillId="9" borderId="7" xfId="0" applyNumberFormat="1" applyFill="1" applyBorder="1" applyAlignment="1">
      <alignment horizontal="center" vertical="center" wrapText="1"/>
    </xf>
    <xf numFmtId="164" fontId="32" fillId="11" borderId="0" xfId="0" applyNumberFormat="1" applyFont="1" applyFill="1" applyAlignment="1">
      <alignment horizontal="center" vertical="center" wrapText="1"/>
    </xf>
    <xf numFmtId="164" fontId="0" fillId="14" borderId="0" xfId="0" applyNumberFormat="1" applyFill="1" applyAlignment="1">
      <alignment horizontal="center" vertical="center" wrapText="1"/>
    </xf>
    <xf numFmtId="164" fontId="1" fillId="15" borderId="0" xfId="0" applyNumberFormat="1" applyFont="1" applyFill="1" applyAlignment="1">
      <alignment horizontal="center" vertical="center" wrapText="1"/>
    </xf>
    <xf numFmtId="164" fontId="0" fillId="15" borderId="25" xfId="0" applyNumberFormat="1" applyFill="1" applyBorder="1" applyAlignment="1">
      <alignment horizontal="center" vertical="center" wrapText="1"/>
    </xf>
    <xf numFmtId="164" fontId="0" fillId="16" borderId="0" xfId="0" applyNumberFormat="1" applyFill="1" applyAlignment="1">
      <alignment horizontal="center" vertical="center" wrapText="1"/>
    </xf>
    <xf numFmtId="164" fontId="0" fillId="5" borderId="7" xfId="0" applyNumberFormat="1" applyFill="1" applyBorder="1" applyAlignment="1">
      <alignment horizontal="center" vertical="center" wrapText="1"/>
    </xf>
    <xf numFmtId="164" fontId="0" fillId="17" borderId="0" xfId="0" applyNumberFormat="1" applyFill="1" applyAlignment="1">
      <alignment horizontal="center" vertical="center" wrapText="1"/>
    </xf>
    <xf numFmtId="164" fontId="0" fillId="0" borderId="0" xfId="0" applyNumberFormat="1" applyAlignment="1">
      <alignment horizontal="center" vertical="center" wrapText="1"/>
    </xf>
    <xf numFmtId="3" fontId="12" fillId="4" borderId="30" xfId="0" applyNumberFormat="1" applyFont="1" applyFill="1" applyBorder="1"/>
    <xf numFmtId="3" fontId="27" fillId="0" borderId="30" xfId="0" applyNumberFormat="1" applyFont="1" applyBorder="1"/>
    <xf numFmtId="3" fontId="27" fillId="22" borderId="30" xfId="0" applyNumberFormat="1" applyFont="1" applyFill="1" applyBorder="1"/>
    <xf numFmtId="1" fontId="0" fillId="6" borderId="7" xfId="0" applyNumberFormat="1" applyFill="1" applyBorder="1"/>
    <xf numFmtId="0" fontId="0" fillId="6" borderId="48" xfId="0" applyFill="1" applyBorder="1" applyAlignment="1">
      <alignment horizontal="right"/>
    </xf>
    <xf numFmtId="4" fontId="0" fillId="5" borderId="49" xfId="0" applyNumberFormat="1" applyFill="1" applyBorder="1" applyAlignment="1">
      <alignment horizontal="center" vertical="center"/>
    </xf>
    <xf numFmtId="4" fontId="0" fillId="5" borderId="52" xfId="0" applyNumberFormat="1" applyFill="1" applyBorder="1" applyAlignment="1">
      <alignment horizontal="center" vertical="center"/>
    </xf>
    <xf numFmtId="4" fontId="0" fillId="5" borderId="50" xfId="0" applyNumberFormat="1" applyFill="1" applyBorder="1" applyAlignment="1">
      <alignment horizontal="center" vertical="center"/>
    </xf>
    <xf numFmtId="4" fontId="0" fillId="5" borderId="7" xfId="0" applyNumberFormat="1" applyFill="1" applyBorder="1" applyAlignment="1">
      <alignment horizontal="center" vertical="center"/>
    </xf>
    <xf numFmtId="4" fontId="0" fillId="5" borderId="47" xfId="0" applyNumberFormat="1" applyFill="1" applyBorder="1" applyAlignment="1">
      <alignment horizontal="center" vertical="center"/>
    </xf>
    <xf numFmtId="4" fontId="0" fillId="5" borderId="17" xfId="0" applyNumberFormat="1" applyFill="1" applyBorder="1" applyAlignment="1">
      <alignment horizontal="center" vertical="center"/>
    </xf>
    <xf numFmtId="4" fontId="0" fillId="6" borderId="7" xfId="0" applyNumberFormat="1" applyFill="1" applyBorder="1" applyAlignment="1">
      <alignment horizontal="center" vertical="center"/>
    </xf>
    <xf numFmtId="4" fontId="1" fillId="5" borderId="17" xfId="0" applyNumberFormat="1" applyFont="1" applyFill="1" applyBorder="1" applyAlignment="1">
      <alignment horizontal="center" vertical="center"/>
    </xf>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0" fillId="22" borderId="0" xfId="0" applyFill="1"/>
    <xf numFmtId="0" fontId="0" fillId="35" borderId="0" xfId="0" applyFill="1"/>
    <xf numFmtId="0" fontId="0" fillId="36" borderId="0" xfId="0" applyFill="1"/>
    <xf numFmtId="0" fontId="0" fillId="37" borderId="0" xfId="0" applyFill="1"/>
    <xf numFmtId="0" fontId="0" fillId="38" borderId="0" xfId="0" applyFill="1"/>
    <xf numFmtId="2" fontId="11" fillId="4" borderId="78" xfId="0" applyNumberFormat="1" applyFont="1" applyFill="1" applyBorder="1" applyAlignment="1">
      <alignment horizontal="center" vertical="center"/>
    </xf>
    <xf numFmtId="2" fontId="1" fillId="0" borderId="78" xfId="0" applyNumberFormat="1" applyFont="1" applyBorder="1" applyAlignment="1">
      <alignment horizontal="center" vertical="center"/>
    </xf>
    <xf numFmtId="2" fontId="0" fillId="0" borderId="78" xfId="0" applyNumberFormat="1" applyBorder="1" applyAlignment="1">
      <alignment horizontal="center" vertical="center"/>
    </xf>
    <xf numFmtId="2" fontId="0" fillId="13" borderId="78" xfId="0" applyNumberFormat="1" applyFill="1" applyBorder="1" applyAlignment="1">
      <alignment horizontal="center" vertical="center"/>
    </xf>
    <xf numFmtId="4" fontId="12" fillId="4" borderId="29" xfId="0" applyNumberFormat="1" applyFont="1" applyFill="1" applyBorder="1" applyAlignment="1">
      <alignment horizontal="center" vertical="center"/>
    </xf>
    <xf numFmtId="4" fontId="1" fillId="0" borderId="7" xfId="0" applyNumberFormat="1" applyFont="1" applyBorder="1" applyAlignment="1">
      <alignment horizontal="center" vertical="center"/>
    </xf>
    <xf numFmtId="4" fontId="0" fillId="0" borderId="25" xfId="0" applyNumberFormat="1" applyBorder="1" applyAlignment="1">
      <alignment horizontal="center" vertical="center"/>
    </xf>
    <xf numFmtId="4" fontId="0" fillId="0" borderId="1" xfId="0" applyNumberFormat="1" applyBorder="1" applyAlignment="1">
      <alignment horizontal="center" vertical="center"/>
    </xf>
    <xf numFmtId="4" fontId="1" fillId="0" borderId="1" xfId="0" applyNumberFormat="1" applyFont="1" applyBorder="1" applyAlignment="1">
      <alignment horizontal="center" vertical="center"/>
    </xf>
    <xf numFmtId="4" fontId="11" fillId="4" borderId="29" xfId="0" applyNumberFormat="1" applyFont="1" applyFill="1" applyBorder="1" applyAlignment="1">
      <alignment horizontal="center" vertical="center"/>
    </xf>
    <xf numFmtId="4" fontId="11" fillId="4" borderId="7" xfId="0" applyNumberFormat="1" applyFont="1" applyFill="1" applyBorder="1" applyAlignment="1">
      <alignment horizontal="center" vertical="center"/>
    </xf>
    <xf numFmtId="4" fontId="12" fillId="4" borderId="7" xfId="0" applyNumberFormat="1" applyFont="1" applyFill="1" applyBorder="1" applyAlignment="1">
      <alignment horizontal="center" vertical="center"/>
    </xf>
    <xf numFmtId="4" fontId="12" fillId="4" borderId="15" xfId="0" applyNumberFormat="1" applyFont="1" applyFill="1" applyBorder="1" applyAlignment="1">
      <alignment horizontal="center" vertical="center"/>
    </xf>
    <xf numFmtId="4" fontId="8" fillId="21" borderId="0" xfId="0" applyNumberFormat="1" applyFont="1" applyFill="1" applyAlignment="1">
      <alignment horizontal="center" vertical="center"/>
    </xf>
    <xf numFmtId="4" fontId="11" fillId="4" borderId="1" xfId="0" applyNumberFormat="1" applyFont="1" applyFill="1" applyBorder="1" applyAlignment="1">
      <alignment horizontal="center" vertical="center"/>
    </xf>
    <xf numFmtId="4" fontId="0" fillId="13" borderId="1" xfId="0" applyNumberFormat="1" applyFill="1" applyBorder="1" applyAlignment="1">
      <alignment horizontal="center" vertical="center"/>
    </xf>
    <xf numFmtId="169" fontId="11" fillId="4" borderId="1" xfId="0" applyNumberFormat="1" applyFont="1" applyFill="1" applyBorder="1" applyAlignment="1">
      <alignment horizontal="center" vertical="center"/>
    </xf>
    <xf numFmtId="169" fontId="0" fillId="13" borderId="1" xfId="0" applyNumberFormat="1" applyFill="1" applyBorder="1" applyAlignment="1">
      <alignment horizontal="center" vertical="center"/>
    </xf>
    <xf numFmtId="169" fontId="1" fillId="0" borderId="1" xfId="0" applyNumberFormat="1" applyFont="1" applyBorder="1" applyAlignment="1">
      <alignment horizontal="center" vertical="center"/>
    </xf>
    <xf numFmtId="169" fontId="0" fillId="0" borderId="1" xfId="0" applyNumberFormat="1" applyBorder="1" applyAlignment="1">
      <alignment horizontal="center" vertical="center"/>
    </xf>
    <xf numFmtId="169" fontId="1" fillId="20" borderId="1" xfId="0" applyNumberFormat="1" applyFont="1" applyFill="1" applyBorder="1" applyAlignment="1">
      <alignment horizontal="center" vertical="center"/>
    </xf>
    <xf numFmtId="169" fontId="0" fillId="20" borderId="1" xfId="0" applyNumberFormat="1" applyFill="1" applyBorder="1" applyAlignment="1">
      <alignment horizontal="center" vertical="center"/>
    </xf>
    <xf numFmtId="169" fontId="11" fillId="4" borderId="80" xfId="0" applyNumberFormat="1" applyFont="1" applyFill="1" applyBorder="1" applyAlignment="1">
      <alignment horizontal="center" vertical="center"/>
    </xf>
    <xf numFmtId="169" fontId="12" fillId="4" borderId="29" xfId="0" applyNumberFormat="1" applyFont="1" applyFill="1" applyBorder="1" applyAlignment="1">
      <alignment horizontal="center" vertical="center"/>
    </xf>
    <xf numFmtId="169" fontId="1" fillId="0" borderId="7" xfId="0" applyNumberFormat="1" applyFont="1" applyBorder="1" applyAlignment="1">
      <alignment horizontal="center" vertical="center"/>
    </xf>
    <xf numFmtId="169" fontId="0" fillId="0" borderId="7" xfId="0" applyNumberFormat="1" applyBorder="1" applyAlignment="1">
      <alignment horizontal="center" vertical="center"/>
    </xf>
    <xf numFmtId="169" fontId="0" fillId="0" borderId="17" xfId="0" applyNumberFormat="1" applyBorder="1" applyAlignment="1">
      <alignment horizontal="center" vertical="center"/>
    </xf>
    <xf numFmtId="169" fontId="1" fillId="0" borderId="17" xfId="0" applyNumberFormat="1" applyFont="1" applyBorder="1" applyAlignment="1">
      <alignment horizontal="center" vertical="center"/>
    </xf>
    <xf numFmtId="169" fontId="11" fillId="4" borderId="7" xfId="0" applyNumberFormat="1" applyFont="1" applyFill="1" applyBorder="1" applyAlignment="1">
      <alignment horizontal="center" vertical="center"/>
    </xf>
    <xf numFmtId="169" fontId="1" fillId="5" borderId="7" xfId="0" applyNumberFormat="1" applyFont="1" applyFill="1" applyBorder="1" applyAlignment="1">
      <alignment horizontal="center" vertical="center"/>
    </xf>
    <xf numFmtId="169" fontId="0" fillId="5" borderId="7" xfId="0" applyNumberFormat="1" applyFill="1" applyBorder="1" applyAlignment="1">
      <alignment horizontal="center" vertical="center"/>
    </xf>
    <xf numFmtId="169" fontId="12" fillId="4" borderId="7" xfId="0" applyNumberFormat="1" applyFont="1" applyFill="1" applyBorder="1" applyAlignment="1">
      <alignment horizontal="center" vertical="center"/>
    </xf>
    <xf numFmtId="169" fontId="12" fillId="4" borderId="51" xfId="0" applyNumberFormat="1" applyFont="1" applyFill="1" applyBorder="1" applyAlignment="1">
      <alignment horizontal="center" vertical="center"/>
    </xf>
    <xf numFmtId="169" fontId="8" fillId="21" borderId="0" xfId="0" applyNumberFormat="1" applyFont="1" applyFill="1" applyAlignment="1">
      <alignment horizontal="center" vertical="center"/>
    </xf>
    <xf numFmtId="4" fontId="1" fillId="5" borderId="7" xfId="0" applyNumberFormat="1" applyFont="1" applyFill="1" applyBorder="1" applyAlignment="1">
      <alignment horizontal="center" vertical="center"/>
    </xf>
    <xf numFmtId="4" fontId="12" fillId="4" borderId="14" xfId="0" applyNumberFormat="1" applyFont="1" applyFill="1" applyBorder="1" applyAlignment="1">
      <alignment horizontal="center" vertical="center"/>
    </xf>
    <xf numFmtId="4" fontId="11" fillId="4" borderId="81" xfId="0" applyNumberFormat="1" applyFont="1" applyFill="1" applyBorder="1" applyAlignment="1">
      <alignment horizontal="center" vertical="center"/>
    </xf>
    <xf numFmtId="4" fontId="25" fillId="4" borderId="9" xfId="0" applyNumberFormat="1" applyFont="1" applyFill="1" applyBorder="1"/>
    <xf numFmtId="4" fontId="0" fillId="0" borderId="9" xfId="0" applyNumberFormat="1" applyBorder="1"/>
    <xf numFmtId="4" fontId="0" fillId="0" borderId="7" xfId="0" applyNumberFormat="1" applyBorder="1"/>
    <xf numFmtId="4" fontId="25" fillId="4" borderId="30" xfId="0" applyNumberFormat="1" applyFont="1" applyFill="1" applyBorder="1"/>
    <xf numFmtId="4" fontId="25" fillId="4" borderId="0" xfId="0" applyNumberFormat="1" applyFont="1" applyFill="1"/>
    <xf numFmtId="170" fontId="15" fillId="0" borderId="7" xfId="0" applyNumberFormat="1" applyFont="1" applyBorder="1" applyAlignment="1">
      <alignment horizontal="center" vertical="center"/>
    </xf>
    <xf numFmtId="170" fontId="0" fillId="0" borderId="7" xfId="0" applyNumberFormat="1" applyBorder="1" applyAlignment="1">
      <alignment horizontal="center" vertical="center"/>
    </xf>
    <xf numFmtId="4" fontId="1" fillId="6" borderId="50" xfId="0" applyNumberFormat="1" applyFont="1" applyFill="1" applyBorder="1"/>
    <xf numFmtId="4" fontId="1" fillId="0" borderId="9" xfId="0" applyNumberFormat="1" applyFont="1" applyBorder="1"/>
    <xf numFmtId="0" fontId="4" fillId="0" borderId="0" xfId="0" applyFont="1" applyAlignment="1">
      <alignment horizontal="center" vertical="center"/>
    </xf>
    <xf numFmtId="0" fontId="5" fillId="0" borderId="0" xfId="0" applyFont="1" applyAlignment="1">
      <alignment horizontal="center" vertical="center"/>
    </xf>
    <xf numFmtId="2" fontId="1" fillId="0" borderId="7" xfId="0" applyNumberFormat="1" applyFont="1" applyBorder="1"/>
    <xf numFmtId="4" fontId="1" fillId="6" borderId="7" xfId="0" applyNumberFormat="1" applyFont="1" applyFill="1" applyBorder="1"/>
    <xf numFmtId="0" fontId="0" fillId="39" borderId="0" xfId="0" applyFill="1"/>
    <xf numFmtId="0" fontId="0" fillId="39" borderId="0" xfId="0" applyFill="1" applyAlignment="1">
      <alignment horizontal="center" vertical="center"/>
    </xf>
    <xf numFmtId="11" fontId="0" fillId="39" borderId="0" xfId="0" applyNumberFormat="1" applyFill="1" applyAlignment="1">
      <alignment horizontal="center" vertical="center"/>
    </xf>
    <xf numFmtId="11" fontId="0" fillId="39" borderId="0" xfId="0" applyNumberFormat="1" applyFill="1"/>
    <xf numFmtId="11" fontId="0" fillId="39" borderId="0" xfId="0" applyNumberFormat="1" applyFill="1" applyAlignment="1">
      <alignment horizontal="center" vertical="center" wrapText="1"/>
    </xf>
    <xf numFmtId="0" fontId="2" fillId="39" borderId="0" xfId="1" applyFill="1" applyAlignment="1"/>
    <xf numFmtId="11" fontId="2" fillId="39" borderId="0" xfId="1" applyNumberFormat="1" applyFill="1" applyAlignment="1">
      <alignment horizontal="center"/>
    </xf>
    <xf numFmtId="0" fontId="1" fillId="16" borderId="0" xfId="0" applyFont="1" applyFill="1" applyAlignment="1">
      <alignment horizontal="center" vertical="center"/>
    </xf>
    <xf numFmtId="0" fontId="0" fillId="16" borderId="0" xfId="0" applyFill="1" applyAlignment="1">
      <alignment horizontal="center" vertical="center"/>
    </xf>
    <xf numFmtId="11" fontId="0" fillId="16" borderId="0" xfId="0" applyNumberFormat="1" applyFill="1" applyAlignment="1">
      <alignment horizontal="center" vertical="center"/>
    </xf>
    <xf numFmtId="11" fontId="0" fillId="16" borderId="0" xfId="0" applyNumberFormat="1" applyFill="1"/>
    <xf numFmtId="0" fontId="1" fillId="39" borderId="0" xfId="0" applyFont="1" applyFill="1" applyAlignment="1">
      <alignment horizontal="center" vertical="center"/>
    </xf>
    <xf numFmtId="0" fontId="1" fillId="39" borderId="0" xfId="0" applyFont="1" applyFill="1"/>
    <xf numFmtId="0" fontId="1" fillId="39" borderId="0" xfId="0" applyFont="1" applyFill="1" applyAlignment="1">
      <alignment horizontal="center"/>
    </xf>
    <xf numFmtId="0" fontId="1" fillId="16" borderId="0" xfId="0" applyFont="1" applyFill="1" applyAlignment="1">
      <alignment horizontal="center"/>
    </xf>
    <xf numFmtId="2" fontId="42" fillId="0" borderId="23" xfId="0" applyNumberFormat="1" applyFont="1" applyBorder="1" applyAlignment="1">
      <alignment horizontal="center" vertical="center"/>
    </xf>
    <xf numFmtId="2" fontId="0" fillId="0" borderId="23" xfId="0" applyNumberFormat="1" applyBorder="1" applyAlignment="1">
      <alignment horizontal="center" vertical="center"/>
    </xf>
    <xf numFmtId="2" fontId="0" fillId="6" borderId="23" xfId="0" applyNumberFormat="1" applyFill="1" applyBorder="1" applyAlignment="1">
      <alignment horizontal="center" vertical="center"/>
    </xf>
    <xf numFmtId="2" fontId="0" fillId="0" borderId="70" xfId="0" applyNumberFormat="1" applyBorder="1" applyAlignment="1">
      <alignment horizontal="center" vertical="center"/>
    </xf>
    <xf numFmtId="2" fontId="23" fillId="4" borderId="7" xfId="0" applyNumberFormat="1" applyFont="1" applyFill="1" applyBorder="1" applyAlignment="1">
      <alignment horizontal="center" vertical="center" wrapText="1"/>
    </xf>
    <xf numFmtId="2" fontId="23" fillId="4" borderId="17" xfId="0" applyNumberFormat="1" applyFont="1" applyFill="1" applyBorder="1" applyAlignment="1">
      <alignment horizontal="center" vertical="center" wrapText="1"/>
    </xf>
    <xf numFmtId="2" fontId="5" fillId="5" borderId="7" xfId="0" applyNumberFormat="1" applyFont="1" applyFill="1" applyBorder="1" applyAlignment="1">
      <alignment horizontal="center" vertical="center" wrapText="1"/>
    </xf>
    <xf numFmtId="2" fontId="5" fillId="5" borderId="17" xfId="0" applyNumberFormat="1" applyFont="1" applyFill="1" applyBorder="1" applyAlignment="1">
      <alignment horizontal="center" vertical="center" wrapText="1"/>
    </xf>
    <xf numFmtId="2" fontId="42"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2" fontId="1" fillId="6" borderId="1" xfId="0" applyNumberFormat="1" applyFont="1" applyFill="1" applyBorder="1" applyAlignment="1">
      <alignment horizontal="center" vertical="center" wrapText="1"/>
    </xf>
    <xf numFmtId="2" fontId="0" fillId="0" borderId="62" xfId="0" applyNumberFormat="1" applyBorder="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left" wrapText="1"/>
    </xf>
    <xf numFmtId="0" fontId="1" fillId="0" borderId="20" xfId="0" applyFont="1" applyBorder="1" applyAlignment="1">
      <alignment horizontal="left" wrapText="1"/>
    </xf>
    <xf numFmtId="0" fontId="1" fillId="0" borderId="0" xfId="0" applyFont="1" applyAlignment="1">
      <alignment horizontal="left" vertical="center" wrapText="1"/>
    </xf>
    <xf numFmtId="0" fontId="0" fillId="0" borderId="0" xfId="0" applyAlignment="1">
      <alignment horizontal="center" wrapText="1"/>
    </xf>
    <xf numFmtId="0" fontId="0" fillId="0" borderId="0" xfId="0" applyAlignment="1">
      <alignment horizontal="center"/>
    </xf>
    <xf numFmtId="0" fontId="1" fillId="5" borderId="7" xfId="0" applyFont="1" applyFill="1" applyBorder="1" applyAlignment="1">
      <alignment horizontal="center" vertical="center"/>
    </xf>
    <xf numFmtId="0" fontId="1" fillId="5" borderId="7" xfId="0" applyFont="1" applyFill="1" applyBorder="1" applyAlignment="1">
      <alignment horizontal="center" vertical="center" wrapText="1"/>
    </xf>
    <xf numFmtId="0" fontId="1" fillId="5" borderId="17"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9" xfId="0" applyFont="1" applyFill="1" applyBorder="1" applyAlignment="1">
      <alignment horizontal="center" vertical="center"/>
    </xf>
    <xf numFmtId="0" fontId="1" fillId="18" borderId="29" xfId="0" applyFont="1" applyFill="1" applyBorder="1" applyAlignment="1">
      <alignment horizontal="center" vertical="center"/>
    </xf>
    <xf numFmtId="0" fontId="1" fillId="18" borderId="7" xfId="0" applyFont="1" applyFill="1" applyBorder="1" applyAlignment="1">
      <alignment horizontal="center" vertical="center"/>
    </xf>
    <xf numFmtId="0" fontId="1" fillId="18" borderId="29" xfId="0" applyFont="1" applyFill="1" applyBorder="1" applyAlignment="1">
      <alignment horizontal="center" vertical="center" wrapText="1"/>
    </xf>
    <xf numFmtId="0" fontId="1" fillId="18" borderId="7" xfId="0" applyFont="1" applyFill="1" applyBorder="1" applyAlignment="1">
      <alignment horizontal="center" vertical="center" wrapText="1"/>
    </xf>
    <xf numFmtId="0" fontId="1" fillId="18" borderId="50" xfId="0" applyFont="1" applyFill="1" applyBorder="1" applyAlignment="1">
      <alignment horizontal="center" vertical="center"/>
    </xf>
    <xf numFmtId="0" fontId="1" fillId="18" borderId="68" xfId="0" applyFont="1" applyFill="1" applyBorder="1" applyAlignment="1">
      <alignment horizontal="center" vertical="center"/>
    </xf>
    <xf numFmtId="0" fontId="1" fillId="18" borderId="69" xfId="0" applyFont="1" applyFill="1" applyBorder="1" applyAlignment="1">
      <alignment horizontal="center" vertical="center"/>
    </xf>
    <xf numFmtId="0" fontId="1" fillId="18" borderId="17" xfId="0" applyFont="1" applyFill="1" applyBorder="1" applyAlignment="1">
      <alignment horizontal="center" vertical="center"/>
    </xf>
    <xf numFmtId="0" fontId="1" fillId="18" borderId="18" xfId="0" applyFont="1" applyFill="1" applyBorder="1" applyAlignment="1">
      <alignment horizontal="center" vertical="center"/>
    </xf>
    <xf numFmtId="0" fontId="1" fillId="18" borderId="19" xfId="0" applyFont="1" applyFill="1" applyBorder="1" applyAlignment="1">
      <alignment horizontal="center" vertical="center"/>
    </xf>
    <xf numFmtId="0" fontId="4" fillId="0" borderId="0" xfId="0" applyFont="1" applyAlignment="1">
      <alignment horizontal="center" vertical="center"/>
    </xf>
    <xf numFmtId="0" fontId="12" fillId="4" borderId="7" xfId="0" applyFont="1" applyFill="1" applyBorder="1" applyAlignment="1">
      <alignment horizontal="left"/>
    </xf>
    <xf numFmtId="0" fontId="12" fillId="4" borderId="29" xfId="0" applyFont="1" applyFill="1" applyBorder="1" applyAlignment="1">
      <alignment horizontal="left"/>
    </xf>
    <xf numFmtId="0" fontId="21" fillId="4" borderId="51" xfId="0" applyFont="1" applyFill="1" applyBorder="1" applyAlignment="1">
      <alignment horizontal="center" vertical="center"/>
    </xf>
    <xf numFmtId="0" fontId="21" fillId="4" borderId="58" xfId="0" applyFont="1" applyFill="1" applyBorder="1" applyAlignment="1">
      <alignment horizontal="center" vertical="center"/>
    </xf>
    <xf numFmtId="0" fontId="21" fillId="4" borderId="56" xfId="0" applyFont="1" applyFill="1" applyBorder="1" applyAlignment="1">
      <alignment horizontal="left"/>
    </xf>
    <xf numFmtId="0" fontId="21" fillId="4" borderId="57" xfId="0" applyFont="1" applyFill="1" applyBorder="1" applyAlignment="1">
      <alignment horizontal="left"/>
    </xf>
    <xf numFmtId="0" fontId="21" fillId="4" borderId="54" xfId="0" applyFont="1" applyFill="1" applyBorder="1" applyAlignment="1">
      <alignment horizontal="left"/>
    </xf>
    <xf numFmtId="0" fontId="21" fillId="4" borderId="31" xfId="0" applyFont="1" applyFill="1" applyBorder="1" applyAlignment="1">
      <alignment horizontal="left"/>
    </xf>
    <xf numFmtId="0" fontId="21" fillId="4" borderId="32" xfId="0" applyFont="1" applyFill="1" applyBorder="1" applyAlignment="1">
      <alignment horizontal="left"/>
    </xf>
    <xf numFmtId="0" fontId="21" fillId="4" borderId="55" xfId="0" applyFont="1" applyFill="1" applyBorder="1" applyAlignment="1">
      <alignment horizontal="left"/>
    </xf>
    <xf numFmtId="0" fontId="21" fillId="4" borderId="33" xfId="0" applyFont="1" applyFill="1" applyBorder="1" applyAlignment="1">
      <alignment horizontal="left"/>
    </xf>
    <xf numFmtId="0" fontId="39" fillId="0" borderId="47" xfId="1" applyFont="1" applyBorder="1" applyAlignment="1">
      <alignment horizontal="center" vertical="center" wrapText="1"/>
    </xf>
    <xf numFmtId="0" fontId="39" fillId="0" borderId="0" xfId="1" applyFont="1" applyBorder="1" applyAlignment="1">
      <alignment horizontal="center" vertical="center" wrapText="1"/>
    </xf>
    <xf numFmtId="0" fontId="0" fillId="7" borderId="0" xfId="0" applyFill="1" applyAlignment="1">
      <alignment horizontal="center" wrapText="1"/>
    </xf>
    <xf numFmtId="0" fontId="20" fillId="4" borderId="37" xfId="0" applyFont="1" applyFill="1" applyBorder="1" applyAlignment="1">
      <alignment horizontal="center" vertical="center"/>
    </xf>
    <xf numFmtId="0" fontId="20" fillId="4" borderId="36" xfId="0" applyFont="1" applyFill="1" applyBorder="1" applyAlignment="1">
      <alignment horizontal="center" vertical="center"/>
    </xf>
    <xf numFmtId="0" fontId="7" fillId="5" borderId="0" xfId="0" applyFont="1" applyFill="1" applyAlignment="1">
      <alignment horizontal="center" wrapText="1"/>
    </xf>
    <xf numFmtId="0" fontId="0" fillId="18" borderId="25" xfId="0" applyFill="1" applyBorder="1" applyAlignment="1">
      <alignment horizontal="center"/>
    </xf>
    <xf numFmtId="0" fontId="0" fillId="18" borderId="29" xfId="0" applyFill="1" applyBorder="1" applyAlignment="1">
      <alignment horizontal="center"/>
    </xf>
    <xf numFmtId="0" fontId="26" fillId="4" borderId="16" xfId="0" applyFont="1" applyFill="1" applyBorder="1" applyAlignment="1">
      <alignment horizontal="center" wrapText="1"/>
    </xf>
    <xf numFmtId="0" fontId="26" fillId="4" borderId="0" xfId="0" applyFont="1" applyFill="1" applyAlignment="1">
      <alignment horizontal="center" wrapText="1"/>
    </xf>
    <xf numFmtId="0" fontId="22" fillId="5" borderId="16" xfId="0" applyFont="1" applyFill="1" applyBorder="1" applyAlignment="1">
      <alignment horizontal="center" wrapText="1"/>
    </xf>
    <xf numFmtId="0" fontId="22" fillId="5" borderId="0" xfId="0" applyFont="1" applyFill="1" applyAlignment="1">
      <alignment horizontal="center" wrapText="1"/>
    </xf>
    <xf numFmtId="0" fontId="21" fillId="4" borderId="2" xfId="0" applyFont="1" applyFill="1" applyBorder="1" applyAlignment="1">
      <alignment horizontal="left"/>
    </xf>
    <xf numFmtId="0" fontId="12" fillId="4" borderId="3" xfId="0" applyFont="1" applyFill="1" applyBorder="1" applyAlignment="1">
      <alignment horizontal="left"/>
    </xf>
    <xf numFmtId="0" fontId="12" fillId="4" borderId="4" xfId="0" applyFont="1" applyFill="1" applyBorder="1" applyAlignment="1">
      <alignment horizontal="left"/>
    </xf>
    <xf numFmtId="0" fontId="1" fillId="5" borderId="5" xfId="0" applyFont="1" applyFill="1" applyBorder="1" applyAlignment="1">
      <alignment horizontal="center" vertical="center"/>
    </xf>
    <xf numFmtId="0" fontId="1" fillId="5" borderId="1" xfId="0" applyFont="1" applyFill="1" applyBorder="1" applyAlignment="1">
      <alignment horizontal="center" wrapText="1"/>
    </xf>
    <xf numFmtId="0" fontId="21" fillId="4" borderId="16" xfId="0" applyFont="1" applyFill="1" applyBorder="1" applyAlignment="1">
      <alignment horizontal="center" vertical="center"/>
    </xf>
    <xf numFmtId="0" fontId="21" fillId="4" borderId="0" xfId="0" applyFont="1" applyFill="1" applyAlignment="1">
      <alignment horizontal="center" vertical="center"/>
    </xf>
    <xf numFmtId="0" fontId="24" fillId="6" borderId="41" xfId="0" applyFont="1" applyFill="1" applyBorder="1" applyAlignment="1">
      <alignment horizontal="left"/>
    </xf>
    <xf numFmtId="0" fontId="24" fillId="6" borderId="21" xfId="0" applyFont="1" applyFill="1" applyBorder="1" applyAlignment="1">
      <alignment horizontal="left"/>
    </xf>
    <xf numFmtId="0" fontId="24" fillId="6" borderId="42" xfId="0" applyFont="1" applyFill="1" applyBorder="1" applyAlignment="1">
      <alignment horizontal="left"/>
    </xf>
    <xf numFmtId="0" fontId="0" fillId="6" borderId="38" xfId="0" applyFill="1" applyBorder="1" applyAlignment="1">
      <alignment horizontal="left"/>
    </xf>
    <xf numFmtId="0" fontId="0" fillId="6" borderId="39" xfId="0" applyFill="1" applyBorder="1" applyAlignment="1">
      <alignment horizontal="left"/>
    </xf>
    <xf numFmtId="0" fontId="0" fillId="6" borderId="40" xfId="0" applyFill="1" applyBorder="1" applyAlignment="1">
      <alignment horizontal="left"/>
    </xf>
    <xf numFmtId="0" fontId="11" fillId="6" borderId="21" xfId="0" applyFont="1" applyFill="1" applyBorder="1" applyAlignment="1">
      <alignment horizontal="left"/>
    </xf>
    <xf numFmtId="0" fontId="11" fillId="6" borderId="42" xfId="0" applyFont="1" applyFill="1" applyBorder="1" applyAlignment="1">
      <alignment horizontal="left"/>
    </xf>
    <xf numFmtId="0" fontId="21" fillId="4" borderId="38" xfId="0" applyFont="1" applyFill="1" applyBorder="1" applyAlignment="1">
      <alignment horizontal="center"/>
    </xf>
    <xf numFmtId="0" fontId="21" fillId="4" borderId="39" xfId="0" applyFont="1" applyFill="1" applyBorder="1" applyAlignment="1">
      <alignment horizontal="center"/>
    </xf>
    <xf numFmtId="0" fontId="42" fillId="0" borderId="72" xfId="1" applyFont="1" applyBorder="1" applyAlignment="1">
      <alignment horizontal="center" vertical="center" wrapText="1"/>
    </xf>
    <xf numFmtId="0" fontId="1" fillId="0" borderId="0" xfId="0" applyFont="1" applyAlignment="1">
      <alignment vertical="center"/>
    </xf>
    <xf numFmtId="0" fontId="1" fillId="0" borderId="48" xfId="0" applyFont="1" applyBorder="1" applyAlignment="1">
      <alignment vertical="center"/>
    </xf>
    <xf numFmtId="0" fontId="2" fillId="0" borderId="0" xfId="1" applyAlignment="1">
      <alignment horizontal="center"/>
    </xf>
    <xf numFmtId="0" fontId="1" fillId="5" borderId="1" xfId="0" applyFont="1" applyFill="1" applyBorder="1" applyAlignment="1">
      <alignment horizontal="center" vertical="center"/>
    </xf>
    <xf numFmtId="0" fontId="2" fillId="0" borderId="0" xfId="1" applyAlignment="1">
      <alignment horizontal="center" wrapText="1"/>
    </xf>
    <xf numFmtId="0" fontId="50" fillId="0" borderId="0" xfId="0" applyFont="1"/>
    <xf numFmtId="0" fontId="0" fillId="0" borderId="0" xfId="0"/>
    <xf numFmtId="0" fontId="1" fillId="16" borderId="0" xfId="0" applyFont="1" applyFill="1" applyAlignment="1">
      <alignment horizontal="center" vertical="center"/>
    </xf>
    <xf numFmtId="0" fontId="1" fillId="39" borderId="0" xfId="0" applyFont="1" applyFill="1" applyAlignment="1">
      <alignment horizontal="center" vertical="center"/>
    </xf>
    <xf numFmtId="164" fontId="1" fillId="16" borderId="59" xfId="0" applyNumberFormat="1" applyFont="1" applyFill="1" applyBorder="1" applyAlignment="1">
      <alignment horizontal="center" vertical="center" wrapText="1"/>
    </xf>
    <xf numFmtId="11" fontId="1" fillId="39" borderId="59" xfId="0" applyNumberFormat="1" applyFont="1" applyFill="1" applyBorder="1" applyAlignment="1">
      <alignment horizontal="center"/>
    </xf>
    <xf numFmtId="0" fontId="2" fillId="0" borderId="7" xfId="1" applyBorder="1" applyAlignment="1">
      <alignment horizontal="center" wrapText="1"/>
    </xf>
    <xf numFmtId="0" fontId="0" fillId="0" borderId="7" xfId="0" applyBorder="1" applyAlignment="1">
      <alignment horizontal="center" wrapText="1"/>
    </xf>
    <xf numFmtId="0" fontId="0" fillId="0" borderId="0" xfId="0" applyAlignment="1">
      <alignment horizontal="center" vertical="center"/>
    </xf>
    <xf numFmtId="0" fontId="5" fillId="0" borderId="21" xfId="0" applyFont="1" applyBorder="1" applyAlignment="1">
      <alignment horizontal="center"/>
    </xf>
    <xf numFmtId="0" fontId="43" fillId="3" borderId="63" xfId="0" applyFont="1" applyFill="1" applyBorder="1" applyAlignment="1">
      <alignment horizontal="center" vertical="center" wrapText="1"/>
    </xf>
    <xf numFmtId="0" fontId="2" fillId="0" borderId="12" xfId="1" applyBorder="1" applyAlignment="1">
      <alignment horizontal="center" vertical="center" wrapText="1"/>
    </xf>
    <xf numFmtId="0" fontId="2" fillId="0" borderId="9" xfId="1" applyBorder="1" applyAlignment="1">
      <alignment horizontal="center" vertical="center" wrapText="1"/>
    </xf>
    <xf numFmtId="0" fontId="43" fillId="3" borderId="56" xfId="0" applyFont="1" applyFill="1" applyBorder="1" applyAlignment="1">
      <alignment horizontal="center" vertical="center" wrapText="1"/>
    </xf>
    <xf numFmtId="0" fontId="1" fillId="5" borderId="12" xfId="0" applyFont="1" applyFill="1" applyBorder="1" applyAlignment="1">
      <alignment horizontal="center" vertical="center"/>
    </xf>
    <xf numFmtId="0" fontId="1" fillId="5" borderId="35" xfId="0" applyFont="1" applyFill="1" applyBorder="1" applyAlignment="1">
      <alignment horizontal="center" vertical="center"/>
    </xf>
    <xf numFmtId="0" fontId="1" fillId="5" borderId="56" xfId="0" applyFont="1" applyFill="1" applyBorder="1" applyAlignment="1">
      <alignment horizontal="center" vertical="center" wrapText="1"/>
    </xf>
    <xf numFmtId="0" fontId="1" fillId="5" borderId="60" xfId="0" applyFont="1" applyFill="1" applyBorder="1" applyAlignment="1">
      <alignment horizontal="center" vertical="center" wrapText="1"/>
    </xf>
    <xf numFmtId="0" fontId="1" fillId="5" borderId="0" xfId="0" applyFont="1" applyFill="1" applyAlignment="1">
      <alignment horizontal="center" wrapText="1"/>
    </xf>
    <xf numFmtId="0" fontId="1" fillId="5" borderId="65" xfId="0" applyFont="1" applyFill="1" applyBorder="1" applyAlignment="1">
      <alignment horizontal="center" vertical="center" wrapText="1"/>
    </xf>
    <xf numFmtId="0" fontId="1" fillId="5" borderId="36" xfId="0" applyFont="1" applyFill="1" applyBorder="1" applyAlignment="1">
      <alignment horizontal="center" vertical="center" wrapText="1"/>
    </xf>
    <xf numFmtId="0" fontId="5" fillId="0" borderId="20" xfId="0" applyFont="1" applyBorder="1" applyAlignment="1">
      <alignment horizontal="center"/>
    </xf>
    <xf numFmtId="0" fontId="2" fillId="0" borderId="0" xfId="1" applyAlignment="1">
      <alignment horizontal="center" vertical="center"/>
    </xf>
    <xf numFmtId="0" fontId="1" fillId="2" borderId="7" xfId="0" applyFont="1" applyFill="1" applyBorder="1" applyAlignment="1">
      <alignment horizontal="center" vertical="center" wrapText="1"/>
    </xf>
    <xf numFmtId="0" fontId="2" fillId="0" borderId="7" xfId="1" applyBorder="1" applyAlignment="1">
      <alignment horizontal="center"/>
    </xf>
    <xf numFmtId="0" fontId="2" fillId="0" borderId="7" xfId="1" applyFill="1" applyBorder="1" applyAlignment="1">
      <alignment horizontal="center" vertical="center" wrapText="1"/>
    </xf>
    <xf numFmtId="0" fontId="2" fillId="0" borderId="9" xfId="1" applyBorder="1" applyAlignment="1">
      <alignment horizontal="center"/>
    </xf>
    <xf numFmtId="0" fontId="5" fillId="2" borderId="8" xfId="0" applyFont="1" applyFill="1" applyBorder="1" applyAlignment="1">
      <alignment horizontal="center" vertical="center" wrapText="1"/>
    </xf>
    <xf numFmtId="0" fontId="1" fillId="0" borderId="17" xfId="0" applyFont="1" applyBorder="1" applyAlignment="1">
      <alignment horizontal="center" vertical="center" wrapText="1"/>
    </xf>
    <xf numFmtId="0" fontId="2" fillId="0" borderId="25" xfId="1" applyBorder="1" applyAlignment="1">
      <alignment horizontal="center" wrapText="1"/>
    </xf>
    <xf numFmtId="0" fontId="2" fillId="0" borderId="29" xfId="1" applyBorder="1" applyAlignment="1">
      <alignment horizontal="center" wrapText="1"/>
    </xf>
    <xf numFmtId="0" fontId="1" fillId="2" borderId="8" xfId="0" applyFont="1" applyFill="1" applyBorder="1" applyAlignment="1">
      <alignment horizontal="center"/>
    </xf>
    <xf numFmtId="0" fontId="4" fillId="0" borderId="0" xfId="0" applyFont="1" applyAlignment="1">
      <alignment horizontal="center"/>
    </xf>
    <xf numFmtId="0" fontId="5" fillId="0" borderId="11" xfId="0" applyFont="1" applyBorder="1" applyAlignment="1">
      <alignment horizontal="center" vertical="center" wrapText="1"/>
    </xf>
    <xf numFmtId="0" fontId="2" fillId="0" borderId="17" xfId="1" applyBorder="1" applyAlignment="1">
      <alignment horizontal="center"/>
    </xf>
    <xf numFmtId="0" fontId="36" fillId="9" borderId="0" xfId="0" applyFont="1" applyFill="1" applyAlignment="1">
      <alignment horizontal="left" vertical="center" wrapText="1"/>
    </xf>
    <xf numFmtId="0" fontId="32" fillId="9" borderId="0" xfId="0" applyFont="1" applyFill="1" applyAlignment="1">
      <alignment horizontal="left" vertical="center" wrapText="1"/>
    </xf>
    <xf numFmtId="0" fontId="0" fillId="9" borderId="48" xfId="0" applyFill="1" applyBorder="1" applyAlignment="1">
      <alignment horizontal="left" vertical="top" wrapText="1"/>
    </xf>
    <xf numFmtId="0" fontId="32" fillId="9" borderId="0" xfId="0" applyFont="1" applyFill="1" applyAlignment="1">
      <alignment horizontal="left" vertical="top" wrapText="1"/>
    </xf>
    <xf numFmtId="0" fontId="32" fillId="9" borderId="0" xfId="0" applyFont="1" applyFill="1" applyAlignment="1">
      <alignment horizontal="left" vertical="top"/>
    </xf>
    <xf numFmtId="0" fontId="0" fillId="9" borderId="7" xfId="0" applyFill="1" applyBorder="1" applyAlignment="1">
      <alignment horizontal="center" vertical="top" wrapText="1"/>
    </xf>
    <xf numFmtId="0" fontId="0" fillId="9" borderId="7" xfId="0" applyFill="1" applyBorder="1" applyAlignment="1">
      <alignment horizontal="center" wrapText="1"/>
    </xf>
    <xf numFmtId="0" fontId="0" fillId="9" borderId="0" xfId="0" applyFill="1" applyAlignment="1">
      <alignment horizontal="left" vertical="top" wrapText="1"/>
    </xf>
    <xf numFmtId="164" fontId="0" fillId="9" borderId="7" xfId="0" applyNumberFormat="1" applyFill="1" applyBorder="1" applyAlignment="1">
      <alignment horizontal="center" vertical="center" wrapText="1"/>
    </xf>
    <xf numFmtId="0" fontId="0" fillId="15" borderId="0" xfId="0" applyFill="1" applyAlignment="1">
      <alignment horizontal="center" vertical="center" wrapText="1"/>
    </xf>
    <xf numFmtId="164" fontId="0" fillId="15" borderId="0" xfId="0" applyNumberFormat="1" applyFill="1" applyAlignment="1">
      <alignment horizontal="center" vertical="center" wrapText="1"/>
    </xf>
    <xf numFmtId="0" fontId="32" fillId="9" borderId="0" xfId="0" applyFont="1" applyFill="1" applyAlignment="1">
      <alignment wrapText="1"/>
    </xf>
    <xf numFmtId="0" fontId="22" fillId="9" borderId="0" xfId="0" applyFont="1" applyFill="1" applyAlignment="1">
      <alignment horizontal="left" vertical="center" wrapText="1"/>
    </xf>
    <xf numFmtId="0" fontId="22" fillId="10" borderId="0" xfId="0" applyFont="1" applyFill="1" applyAlignment="1">
      <alignment horizontal="left" vertical="center" wrapText="1"/>
    </xf>
    <xf numFmtId="0" fontId="0" fillId="10" borderId="0" xfId="0" applyFill="1" applyAlignment="1">
      <alignment horizontal="left" vertical="top" wrapText="1"/>
    </xf>
    <xf numFmtId="0" fontId="0" fillId="10" borderId="17" xfId="0" applyFill="1" applyBorder="1" applyAlignment="1">
      <alignment horizontal="center" vertical="top" wrapText="1"/>
    </xf>
    <xf numFmtId="0" fontId="0" fillId="10" borderId="17" xfId="0" applyFill="1" applyBorder="1" applyAlignment="1">
      <alignment horizontal="center" wrapText="1"/>
    </xf>
    <xf numFmtId="0" fontId="0" fillId="10" borderId="0" xfId="0" applyFill="1" applyAlignment="1">
      <alignment horizontal="left" wrapText="1"/>
    </xf>
    <xf numFmtId="0" fontId="0" fillId="14" borderId="48" xfId="0" applyFill="1" applyBorder="1" applyAlignment="1">
      <alignment horizontal="center"/>
    </xf>
    <xf numFmtId="0" fontId="0" fillId="14" borderId="0" xfId="0" applyFill="1" applyAlignment="1">
      <alignment horizontal="left" vertical="top" wrapText="1"/>
    </xf>
    <xf numFmtId="0" fontId="0" fillId="15" borderId="0" xfId="0" applyFill="1" applyAlignment="1">
      <alignment horizontal="left" vertical="top" wrapText="1"/>
    </xf>
    <xf numFmtId="0" fontId="0" fillId="15" borderId="0" xfId="0" applyFill="1" applyAlignment="1">
      <alignment horizontal="left" wrapText="1"/>
    </xf>
    <xf numFmtId="0" fontId="0" fillId="0" borderId="25" xfId="0" applyBorder="1" applyAlignment="1">
      <alignment horizontal="center" vertical="center"/>
    </xf>
    <xf numFmtId="0" fontId="0" fillId="0" borderId="29" xfId="0" applyBorder="1" applyAlignment="1">
      <alignment horizontal="center" vertical="center"/>
    </xf>
    <xf numFmtId="0" fontId="11" fillId="4" borderId="10" xfId="0" applyFont="1" applyFill="1" applyBorder="1" applyAlignment="1">
      <alignment horizontal="left"/>
    </xf>
    <xf numFmtId="0" fontId="11" fillId="4" borderId="11" xfId="0" applyFont="1" applyFill="1" applyBorder="1" applyAlignment="1">
      <alignment horizontal="left"/>
    </xf>
    <xf numFmtId="0" fontId="12" fillId="4" borderId="28" xfId="0" applyFont="1" applyFill="1" applyBorder="1" applyAlignment="1">
      <alignment horizontal="left"/>
    </xf>
    <xf numFmtId="0" fontId="12" fillId="4" borderId="30" xfId="0" applyFont="1" applyFill="1" applyBorder="1" applyAlignment="1">
      <alignment horizontal="left"/>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5" xfId="0" applyFont="1" applyBorder="1" applyAlignment="1">
      <alignment horizontal="center" vertical="center"/>
    </xf>
    <xf numFmtId="0" fontId="1" fillId="0" borderId="43" xfId="0" applyFont="1" applyBorder="1" applyAlignment="1">
      <alignment horizontal="center" vertical="center"/>
    </xf>
    <xf numFmtId="0" fontId="1" fillId="0" borderId="29" xfId="0" applyFont="1" applyBorder="1" applyAlignment="1">
      <alignment horizontal="center" vertical="center"/>
    </xf>
    <xf numFmtId="0" fontId="1" fillId="0" borderId="7" xfId="0" applyFont="1" applyBorder="1" applyAlignment="1">
      <alignment horizontal="center" vertical="center"/>
    </xf>
    <xf numFmtId="0" fontId="22" fillId="0" borderId="0" xfId="0" applyFont="1" applyAlignment="1">
      <alignment horizontal="left"/>
    </xf>
    <xf numFmtId="0" fontId="22" fillId="0" borderId="7" xfId="0" applyFont="1" applyBorder="1" applyAlignment="1">
      <alignment horizontal="left"/>
    </xf>
    <xf numFmtId="0" fontId="11" fillId="4" borderId="28" xfId="0" applyFont="1" applyFill="1" applyBorder="1" applyAlignment="1">
      <alignment horizontal="left"/>
    </xf>
    <xf numFmtId="0" fontId="11" fillId="4" borderId="29" xfId="0" applyFont="1" applyFill="1" applyBorder="1" applyAlignment="1">
      <alignment horizontal="left"/>
    </xf>
    <xf numFmtId="0" fontId="11" fillId="4" borderId="50" xfId="0" applyFont="1" applyFill="1" applyBorder="1" applyAlignment="1">
      <alignment horizontal="left"/>
    </xf>
    <xf numFmtId="0" fontId="1" fillId="0" borderId="3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29" xfId="0" applyFont="1" applyBorder="1" applyAlignment="1">
      <alignment horizontal="center" vertical="center" wrapText="1"/>
    </xf>
    <xf numFmtId="0" fontId="0" fillId="0" borderId="7" xfId="0" applyFill="1" applyBorder="1" applyAlignment="1">
      <alignment horizontal="center" vertical="center" wrapText="1"/>
    </xf>
    <xf numFmtId="0" fontId="14" fillId="0" borderId="7" xfId="0" applyFont="1" applyFill="1" applyBorder="1" applyAlignment="1">
      <alignment horizontal="center" vertical="center" wrapText="1"/>
    </xf>
    <xf numFmtId="0" fontId="0" fillId="0" borderId="7" xfId="0" applyFill="1" applyBorder="1" applyAlignment="1">
      <alignment horizontal="center" vertical="center"/>
    </xf>
    <xf numFmtId="0" fontId="0" fillId="0" borderId="7" xfId="0" applyBorder="1" applyAlignment="1">
      <alignment vertical="center" wrapText="1"/>
    </xf>
    <xf numFmtId="0" fontId="0" fillId="0" borderId="7" xfId="0" applyFill="1" applyBorder="1" applyAlignment="1">
      <alignment vertical="center" wrapText="1"/>
    </xf>
    <xf numFmtId="0" fontId="0" fillId="0" borderId="11" xfId="0" applyFill="1" applyBorder="1" applyAlignment="1">
      <alignment horizontal="center" vertical="center"/>
    </xf>
    <xf numFmtId="0" fontId="25" fillId="0" borderId="7" xfId="0" applyFont="1" applyFill="1" applyBorder="1" applyAlignment="1">
      <alignment horizontal="center" vertical="center"/>
    </xf>
    <xf numFmtId="0" fontId="0" fillId="0" borderId="14" xfId="0" applyFill="1" applyBorder="1" applyAlignment="1">
      <alignment horizontal="center" vertical="center"/>
    </xf>
    <xf numFmtId="0" fontId="25" fillId="0" borderId="14" xfId="0" applyFont="1" applyFill="1" applyBorder="1" applyAlignment="1">
      <alignment horizontal="center" vertical="center"/>
    </xf>
    <xf numFmtId="0" fontId="0" fillId="0" borderId="43" xfId="0" applyFill="1" applyBorder="1" applyAlignment="1">
      <alignment horizontal="center" vertical="center"/>
    </xf>
    <xf numFmtId="0" fontId="0" fillId="0" borderId="25" xfId="0" applyFill="1" applyBorder="1" applyAlignment="1">
      <alignment horizontal="center" vertical="center"/>
    </xf>
    <xf numFmtId="0" fontId="0" fillId="0" borderId="29" xfId="0" applyFill="1" applyBorder="1" applyAlignment="1">
      <alignment horizontal="center" vertical="center"/>
    </xf>
    <xf numFmtId="0" fontId="0" fillId="0" borderId="0" xfId="0" applyFill="1" applyAlignment="1">
      <alignment horizontal="center" vertical="center"/>
    </xf>
    <xf numFmtId="0" fontId="1" fillId="0" borderId="11"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25" xfId="0" applyFont="1" applyFill="1" applyBorder="1" applyAlignment="1">
      <alignment horizontal="center" vertical="center"/>
    </xf>
    <xf numFmtId="0" fontId="0" fillId="13" borderId="25" xfId="0" applyFill="1" applyBorder="1" applyAlignment="1">
      <alignment vertical="center" wrapText="1"/>
    </xf>
    <xf numFmtId="0" fontId="0" fillId="13" borderId="43" xfId="0" applyFill="1" applyBorder="1" applyAlignment="1">
      <alignment vertical="center" wrapText="1"/>
    </xf>
    <xf numFmtId="0" fontId="0" fillId="13" borderId="7" xfId="0" applyFill="1" applyBorder="1" applyAlignment="1">
      <alignment vertical="center" wrapText="1"/>
    </xf>
    <xf numFmtId="2" fontId="0" fillId="0" borderId="25" xfId="0" applyNumberFormat="1" applyFill="1" applyBorder="1" applyAlignment="1">
      <alignment horizontal="center" vertical="center"/>
    </xf>
    <xf numFmtId="2" fontId="0" fillId="0" borderId="7" xfId="0" applyNumberFormat="1" applyFill="1" applyBorder="1" applyAlignment="1">
      <alignment horizontal="center" vertical="center"/>
    </xf>
    <xf numFmtId="0" fontId="32" fillId="11" borderId="0" xfId="0" applyFont="1" applyFill="1" applyAlignment="1">
      <alignment horizontal="center" vertical="top" wrapText="1"/>
    </xf>
    <xf numFmtId="1" fontId="42" fillId="15" borderId="0" xfId="0" applyNumberFormat="1" applyFont="1" applyFill="1" applyAlignment="1">
      <alignment horizontal="right"/>
    </xf>
    <xf numFmtId="2" fontId="42" fillId="15" borderId="7" xfId="0" applyNumberFormat="1" applyFont="1" applyFill="1" applyBorder="1" applyAlignment="1">
      <alignment horizontal="center" vertical="center"/>
    </xf>
    <xf numFmtId="167" fontId="42" fillId="15" borderId="7" xfId="0" applyNumberFormat="1" applyFont="1" applyFill="1" applyBorder="1" applyAlignment="1">
      <alignment horizontal="center" vertical="center"/>
    </xf>
    <xf numFmtId="1" fontId="42" fillId="15" borderId="7" xfId="0" applyNumberFormat="1" applyFont="1" applyFill="1" applyBorder="1" applyAlignment="1">
      <alignment horizontal="center" vertical="center"/>
    </xf>
    <xf numFmtId="2" fontId="55" fillId="15" borderId="0" xfId="0" applyNumberFormat="1" applyFont="1" applyFill="1" applyAlignment="1">
      <alignment horizontal="right"/>
    </xf>
    <xf numFmtId="0" fontId="55" fillId="15" borderId="0" xfId="0" applyFont="1" applyFill="1"/>
    <xf numFmtId="167" fontId="55" fillId="15" borderId="0" xfId="0" applyNumberFormat="1" applyFont="1" applyFill="1"/>
    <xf numFmtId="0" fontId="42" fillId="15" borderId="0" xfId="0" applyFont="1" applyFill="1" applyAlignment="1">
      <alignment horizontal="right"/>
    </xf>
    <xf numFmtId="167" fontId="55" fillId="15" borderId="0" xfId="0" applyNumberFormat="1" applyFont="1" applyFill="1" applyAlignment="1">
      <alignment horizontal="right"/>
    </xf>
  </cellXfs>
  <cellStyles count="2">
    <cellStyle name="Hyperlink" xfId="1" xr:uid="{00000000-000B-0000-0000-000008000000}"/>
    <cellStyle name="Normal" xfId="0" builtinId="0"/>
  </cellStyles>
  <dxfs count="0"/>
  <tableStyles count="0" defaultTableStyle="TableStyleMedium2" defaultPivotStyle="PivotStyleLight16"/>
  <colors>
    <mruColors>
      <color rgb="FFFFFF66"/>
      <color rgb="FF343432"/>
      <color rgb="FF81C3D7"/>
      <color rgb="FFFED0BB"/>
      <color rgb="FFFCB9B2"/>
      <color rgb="FFD65108"/>
      <color rgb="FFA69CAC"/>
      <color rgb="FFEF5B5B"/>
      <color rgb="FF20A39E"/>
      <color rgb="FF99C6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4A-4728-BB81-6C089B0C4F9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4A-4728-BB81-6C089B0C4F91}"/>
              </c:ext>
            </c:extLst>
          </c:dPt>
          <c:dLbls>
            <c:dLbl>
              <c:idx val="1"/>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4A-4728-BB81-6C089B0C4F91}"/>
                </c:ext>
              </c:extLst>
            </c:dLbl>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'!$A$35:$A$36</c:f>
              <c:strCache>
                <c:ptCount val="2"/>
                <c:pt idx="0">
                  <c:v>Émissions directes  (Champ 1)</c:v>
                </c:pt>
                <c:pt idx="1">
                  <c:v>Émissions indirectes liées à l'énergie (Champ 2)</c:v>
                </c:pt>
              </c:strCache>
            </c:strRef>
          </c:cat>
          <c:val>
            <c:numRef>
              <c:f>'Graphiques '!$B$35:$B$36</c:f>
              <c:numCache>
                <c:formatCode>#,##0.00</c:formatCode>
                <c:ptCount val="2"/>
                <c:pt idx="0">
                  <c:v>5.07</c:v>
                </c:pt>
                <c:pt idx="1">
                  <c:v>0</c:v>
                </c:pt>
              </c:numCache>
            </c:numRef>
          </c:val>
          <c:extLst>
            <c:ext xmlns:c16="http://schemas.microsoft.com/office/drawing/2014/chart" uri="{C3380CC4-5D6E-409C-BE32-E72D297353CC}">
              <c16:uniqueId val="{00000000-77B2-4066-8E48-778079C9DCFA}"/>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4105792704824625E-2"/>
          <c:y val="0.26970228956521636"/>
          <c:w val="0.37547787537883859"/>
          <c:h val="0.6216396862669549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0"/>
          <c:dPt>
            <c:idx val="0"/>
            <c:bubble3D val="0"/>
            <c:spPr>
              <a:solidFill>
                <a:srgbClr val="E5C3D1"/>
              </a:solidFill>
              <a:ln w="19050">
                <a:solidFill>
                  <a:schemeClr val="lt1"/>
                </a:solidFill>
              </a:ln>
              <a:effectLst/>
            </c:spPr>
            <c:extLst>
              <c:ext xmlns:c16="http://schemas.microsoft.com/office/drawing/2014/chart" uri="{C3380CC4-5D6E-409C-BE32-E72D297353CC}">
                <c16:uniqueId val="{00000001-BDEE-4D81-912E-D71FE03E4706}"/>
              </c:ext>
            </c:extLst>
          </c:dPt>
          <c:dPt>
            <c:idx val="1"/>
            <c:bubble3D val="0"/>
            <c:spPr>
              <a:solidFill>
                <a:srgbClr val="E06D06"/>
              </a:solidFill>
              <a:ln w="19050">
                <a:solidFill>
                  <a:schemeClr val="lt1"/>
                </a:solidFill>
              </a:ln>
              <a:effectLst/>
            </c:spPr>
            <c:extLst>
              <c:ext xmlns:c16="http://schemas.microsoft.com/office/drawing/2014/chart" uri="{C3380CC4-5D6E-409C-BE32-E72D297353CC}">
                <c16:uniqueId val="{00000003-BDEE-4D81-912E-D71FE03E4706}"/>
              </c:ext>
            </c:extLst>
          </c:dPt>
          <c:dPt>
            <c:idx val="2"/>
            <c:bubble3D val="0"/>
            <c:spPr>
              <a:solidFill>
                <a:srgbClr val="EBEFCA"/>
              </a:solidFill>
              <a:ln w="19050">
                <a:solidFill>
                  <a:schemeClr val="lt1"/>
                </a:solidFill>
              </a:ln>
              <a:effectLst/>
            </c:spPr>
            <c:extLst>
              <c:ext xmlns:c16="http://schemas.microsoft.com/office/drawing/2014/chart" uri="{C3380CC4-5D6E-409C-BE32-E72D297353CC}">
                <c16:uniqueId val="{00000005-BDEE-4D81-912E-D71FE03E4706}"/>
              </c:ext>
            </c:extLst>
          </c:dPt>
          <c:dLbls>
            <c:spPr>
              <a:noFill/>
              <a:ln>
                <a:noFill/>
              </a:ln>
              <a:effectLst/>
            </c:spPr>
            <c:txPr>
              <a:bodyPr wrap="square" lIns="38100" tIns="19050" rIns="38100" bIns="19050" anchor="ctr">
                <a:spAutoFit/>
              </a:bodyPr>
              <a:lstStyle/>
              <a:p>
                <a:pPr>
                  <a:defRPr sz="2000"/>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06-BDEE-4D81-912E-D71FE03E4706}"/>
            </c:ext>
          </c:extLst>
        </c:ser>
        <c:ser>
          <c:idx val="3"/>
          <c:order val="1"/>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07-BDEE-4D81-912E-D71FE03E4706}"/>
            </c:ext>
          </c:extLst>
        </c:ser>
        <c:ser>
          <c:idx val="1"/>
          <c:order val="2"/>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08-BDEE-4D81-912E-D71FE03E4706}"/>
            </c:ext>
          </c:extLst>
        </c:ser>
        <c:ser>
          <c:idx val="0"/>
          <c:order val="3"/>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09-BDEE-4D81-912E-D71FE03E4706}"/>
            </c:ext>
          </c:extLst>
        </c:ser>
        <c:dLbls>
          <c:showLegendKey val="0"/>
          <c:showVal val="0"/>
          <c:showCatName val="0"/>
          <c:showSerName val="0"/>
          <c:showPercent val="0"/>
          <c:showBubbleSize val="0"/>
          <c:showLeaderLines val="0"/>
        </c:dLbls>
        <c:firstSliceAng val="0"/>
      </c:pieChart>
    </c:plotArea>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9DBF9E"/>
            </a:solidFill>
          </c:spPr>
          <c:dPt>
            <c:idx val="0"/>
            <c:bubble3D val="0"/>
            <c:spPr>
              <a:solidFill>
                <a:srgbClr val="C46D5E"/>
              </a:solidFill>
              <a:ln w="19050">
                <a:solidFill>
                  <a:schemeClr val="lt1"/>
                </a:solidFill>
              </a:ln>
              <a:effectLst/>
            </c:spPr>
            <c:extLst>
              <c:ext xmlns:c16="http://schemas.microsoft.com/office/drawing/2014/chart" uri="{C3380CC4-5D6E-409C-BE32-E72D297353CC}">
                <c16:uniqueId val="{00000001-3651-4983-8F45-D629CB983EB3}"/>
              </c:ext>
            </c:extLst>
          </c:dPt>
          <c:dPt>
            <c:idx val="1"/>
            <c:bubble3D val="0"/>
            <c:spPr>
              <a:solidFill>
                <a:srgbClr val="9DBF9E"/>
              </a:solidFill>
              <a:ln w="19050">
                <a:solidFill>
                  <a:schemeClr val="lt1"/>
                </a:solidFill>
              </a:ln>
              <a:effectLst/>
            </c:spPr>
            <c:extLst>
              <c:ext xmlns:c16="http://schemas.microsoft.com/office/drawing/2014/chart" uri="{C3380CC4-5D6E-409C-BE32-E72D297353CC}">
                <c16:uniqueId val="{00000003-3651-4983-8F45-D629CB983EB3}"/>
              </c:ext>
            </c:extLst>
          </c:dPt>
          <c:dPt>
            <c:idx val="2"/>
            <c:bubble3D val="0"/>
            <c:spPr>
              <a:solidFill>
                <a:srgbClr val="9DBF9E"/>
              </a:solidFill>
              <a:ln w="19050">
                <a:solidFill>
                  <a:schemeClr val="lt1"/>
                </a:solidFill>
              </a:ln>
              <a:effectLst/>
            </c:spPr>
            <c:extLst>
              <c:ext xmlns:c16="http://schemas.microsoft.com/office/drawing/2014/chart" uri="{C3380CC4-5D6E-409C-BE32-E72D297353CC}">
                <c16:uniqueId val="{00000005-3651-4983-8F45-D629CB983EB3}"/>
              </c:ext>
            </c:extLst>
          </c:dPt>
          <c:dPt>
            <c:idx val="3"/>
            <c:bubble3D val="0"/>
            <c:spPr>
              <a:solidFill>
                <a:srgbClr val="EC9A29"/>
              </a:solidFill>
              <a:ln w="19050">
                <a:solidFill>
                  <a:schemeClr val="lt1"/>
                </a:solidFill>
              </a:ln>
              <a:effectLst/>
            </c:spPr>
            <c:extLst>
              <c:ext xmlns:c16="http://schemas.microsoft.com/office/drawing/2014/chart" uri="{C3380CC4-5D6E-409C-BE32-E72D297353CC}">
                <c16:uniqueId val="{00000007-3651-4983-8F45-D629CB983EB3}"/>
              </c:ext>
            </c:extLst>
          </c:dPt>
          <c:dLbls>
            <c:dLbl>
              <c:idx val="0"/>
              <c:layout>
                <c:manualLayout>
                  <c:x val="-2.4149557365552615E-2"/>
                  <c:y val="0.1579251743698161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51-4983-8F45-D629CB983EB3}"/>
                </c:ext>
              </c:extLst>
            </c:dLbl>
            <c:dLbl>
              <c:idx val="1"/>
              <c:layout>
                <c:manualLayout>
                  <c:x val="4.5777093415907445E-2"/>
                  <c:y val="1.061622853089449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51-4983-8F45-D629CB983EB3}"/>
                </c:ext>
              </c:extLst>
            </c:dLbl>
            <c:dLbl>
              <c:idx val="2"/>
              <c:layout>
                <c:manualLayout>
                  <c:x val="-0.22567618186433902"/>
                  <c:y val="-0.1880190788564508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51-4983-8F45-D629CB983EB3}"/>
                </c:ext>
              </c:extLst>
            </c:dLbl>
            <c:dLbl>
              <c:idx val="3"/>
              <c:layout>
                <c:manualLayout>
                  <c:x val="-2.5668693066449293E-3"/>
                  <c:y val="-5.460028581539265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51-4983-8F45-D629CB983EB3}"/>
                </c:ext>
              </c:extLst>
            </c:dLbl>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'!$A$26:$A$29</c:f>
              <c:strCache>
                <c:ptCount val="4"/>
                <c:pt idx="0">
                  <c:v>Bâtiments et autres installations</c:v>
                </c:pt>
                <c:pt idx="1">
                  <c:v>Station d'épuration des eaux usées</c:v>
                </c:pt>
                <c:pt idx="2">
                  <c:v>Parc des véhicules municipaux </c:v>
                </c:pt>
                <c:pt idx="3">
                  <c:v>Transport par les sous-traitants</c:v>
                </c:pt>
              </c:strCache>
            </c:strRef>
          </c:cat>
          <c:val>
            <c:numRef>
              <c:f>'Graphiques '!$B$26:$B$29</c:f>
              <c:numCache>
                <c:formatCode>#,##0.00</c:formatCode>
                <c:ptCount val="4"/>
                <c:pt idx="0">
                  <c:v>0</c:v>
                </c:pt>
                <c:pt idx="1">
                  <c:v>0</c:v>
                </c:pt>
                <c:pt idx="2">
                  <c:v>5.07</c:v>
                </c:pt>
                <c:pt idx="3">
                  <c:v>0</c:v>
                </c:pt>
              </c:numCache>
            </c:numRef>
          </c:val>
          <c:extLst>
            <c:ext xmlns:c16="http://schemas.microsoft.com/office/drawing/2014/chart" uri="{C3380CC4-5D6E-409C-BE32-E72D297353CC}">
              <c16:uniqueId val="{00000008-3651-4983-8F45-D629CB983EB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Figure 2: Émissions indirectes</a:t>
            </a:r>
            <a:r>
              <a:rPr lang="fr-CA" baseline="0"/>
              <a:t> liées à l'énergie (champ 2) du secteur corporatif de la municipalité du Canton d'Orford pour l'année 2022</a:t>
            </a:r>
            <a:r>
              <a:rPr lang="fr-CA"/>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94-4C45-B8F6-55F9FF79CA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494-4C45-B8F6-55F9FF79CA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94-4C45-B8F6-55F9FF79CAA4}"/>
              </c:ext>
            </c:extLst>
          </c:dPt>
          <c:dLbls>
            <c:dLbl>
              <c:idx val="2"/>
              <c:layout>
                <c:manualLayout>
                  <c:x val="3.4346810943110637E-2"/>
                  <c:y val="0.1772472417749204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94-4C45-B8F6-55F9FF79CAA4}"/>
                </c:ext>
              </c:extLst>
            </c:dLbl>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'!$A$31:$A$33</c:f>
              <c:strCache>
                <c:ptCount val="3"/>
                <c:pt idx="0">
                  <c:v>Bâtiments et autres installations</c:v>
                </c:pt>
                <c:pt idx="1">
                  <c:v>Station d'épuration des eaux usées</c:v>
                </c:pt>
                <c:pt idx="2">
                  <c:v>Éclairage public</c:v>
                </c:pt>
              </c:strCache>
            </c:strRef>
          </c:cat>
          <c:val>
            <c:numRef>
              <c:f>'Graphiques '!$B$31:$B$33</c:f>
              <c:numCache>
                <c:formatCode>#,##0.00</c:formatCode>
                <c:ptCount val="3"/>
                <c:pt idx="0">
                  <c:v>0</c:v>
                </c:pt>
                <c:pt idx="1">
                  <c:v>0</c:v>
                </c:pt>
                <c:pt idx="2">
                  <c:v>0</c:v>
                </c:pt>
              </c:numCache>
            </c:numRef>
          </c:val>
          <c:extLst>
            <c:ext xmlns:c16="http://schemas.microsoft.com/office/drawing/2014/chart" uri="{C3380CC4-5D6E-409C-BE32-E72D297353CC}">
              <c16:uniqueId val="{00000000-875C-4636-A02A-449878E3643F}"/>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0.11288343558282209"/>
          <c:y val="0.36938498114229634"/>
          <c:w val="0.28712867333301129"/>
          <c:h val="0.3854200306089495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Figure 3: Émissions directes (champ</a:t>
            </a:r>
            <a:r>
              <a:rPr lang="fr-CA" baseline="0"/>
              <a:t> 1)</a:t>
            </a:r>
            <a:r>
              <a:rPr lang="fr-CA"/>
              <a:t> de</a:t>
            </a:r>
            <a:r>
              <a:rPr lang="fr-CA" baseline="0"/>
              <a:t> la collectivité de la municipalité du Canton d'Orford pour l'année 2022</a:t>
            </a:r>
            <a:endParaRPr lang="fr-CA"/>
          </a:p>
        </c:rich>
      </c:tx>
      <c:layout>
        <c:manualLayout>
          <c:xMode val="edge"/>
          <c:yMode val="edge"/>
          <c:x val="0.14583926757436819"/>
          <c:y val="3.230382211022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14-4C61-88D9-E877B52836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14-4C61-88D9-E877B52836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14-4C61-88D9-E877B52836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614-4C61-88D9-E877B52836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614-4C61-88D9-E877B5283644}"/>
              </c:ext>
            </c:extLst>
          </c:dPt>
          <c:dLbls>
            <c:dLbl>
              <c:idx val="0"/>
              <c:layout>
                <c:manualLayout>
                  <c:x val="-8.8700080605882803E-2"/>
                  <c:y val="0.1816124306362442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14-4C61-88D9-E877B5283644}"/>
                </c:ext>
              </c:extLst>
            </c:dLbl>
            <c:dLbl>
              <c:idx val="1"/>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14-4C61-88D9-E877B5283644}"/>
                </c:ext>
              </c:extLst>
            </c:dLbl>
            <c:dLbl>
              <c:idx val="2"/>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14-4C61-88D9-E877B5283644}"/>
                </c:ext>
              </c:extLst>
            </c:dLbl>
            <c:dLbl>
              <c:idx val="3"/>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14-4C61-88D9-E877B5283644}"/>
                </c:ext>
              </c:extLst>
            </c:dLbl>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'!$A$60:$A$64</c:f>
              <c:strCache>
                <c:ptCount val="5"/>
                <c:pt idx="0">
                  <c:v>Résidentiel</c:v>
                </c:pt>
                <c:pt idx="1">
                  <c:v>Commercial et institutionnel</c:v>
                </c:pt>
                <c:pt idx="2">
                  <c:v>Traitement des eaux usées</c:v>
                </c:pt>
                <c:pt idx="3">
                  <c:v>Agriculture</c:v>
                </c:pt>
                <c:pt idx="4">
                  <c:v>Transport </c:v>
                </c:pt>
              </c:strCache>
            </c:strRef>
          </c:cat>
          <c:val>
            <c:numRef>
              <c:f>'Graphiques '!$B$60:$B$64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CA7-4C03-B063-3F556DBAB7AF}"/>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a:t>Figure 1: Émissions</a:t>
            </a:r>
            <a:r>
              <a:rPr lang="fr-CA" baseline="0"/>
              <a:t> directes (champ 1) issues du secteur corporatif de la Municipalité d'Orford pour l'année 2022</a:t>
            </a:r>
            <a:endParaRPr lang="fr-C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78-48B5-8C74-023F32AB84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78-48B5-8C74-023F32AB84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78-48B5-8C74-023F32AB84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78-48B5-8C74-023F32AB842F}"/>
              </c:ext>
            </c:extLst>
          </c:dPt>
          <c:dLbls>
            <c:dLbl>
              <c:idx val="0"/>
              <c:layout>
                <c:manualLayout>
                  <c:x val="-2.4149557365552615E-2"/>
                  <c:y val="0.1579251743698161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78-48B5-8C74-023F32AB842F}"/>
                </c:ext>
              </c:extLst>
            </c:dLbl>
            <c:dLbl>
              <c:idx val="1"/>
              <c:layout>
                <c:manualLayout>
                  <c:x val="-1.1003694642101798E-2"/>
                  <c:y val="1.62790737420676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78-48B5-8C74-023F32AB842F}"/>
                </c:ext>
              </c:extLst>
            </c:dLbl>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'!$A$26:$A$29</c:f>
              <c:strCache>
                <c:ptCount val="4"/>
                <c:pt idx="0">
                  <c:v>Bâtiments et autres installations</c:v>
                </c:pt>
                <c:pt idx="1">
                  <c:v>Station d'épuration des eaux usées</c:v>
                </c:pt>
                <c:pt idx="2">
                  <c:v>Parc des véhicules municipaux </c:v>
                </c:pt>
                <c:pt idx="3">
                  <c:v>Transport par les sous-traitants</c:v>
                </c:pt>
              </c:strCache>
            </c:strRef>
          </c:cat>
          <c:val>
            <c:numRef>
              <c:f>'Graphiques '!$B$26:$B$29</c:f>
              <c:numCache>
                <c:formatCode>#,##0.00</c:formatCode>
                <c:ptCount val="4"/>
                <c:pt idx="0">
                  <c:v>0</c:v>
                </c:pt>
                <c:pt idx="1">
                  <c:v>0</c:v>
                </c:pt>
                <c:pt idx="2">
                  <c:v>5.07</c:v>
                </c:pt>
                <c:pt idx="3">
                  <c:v>0</c:v>
                </c:pt>
              </c:numCache>
            </c:numRef>
          </c:val>
          <c:extLst>
            <c:ext xmlns:c16="http://schemas.microsoft.com/office/drawing/2014/chart" uri="{C3380CC4-5D6E-409C-BE32-E72D297353CC}">
              <c16:uniqueId val="{00000000-75E4-4F6E-B3FE-3B41BB309B80}"/>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1.3204433570522159E-2"/>
          <c:y val="0.32161232902699854"/>
          <c:w val="0.36231505695579053"/>
          <c:h val="0.50920173575089678"/>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sz="1400"/>
              <a:t>Figure 4:</a:t>
            </a:r>
            <a:r>
              <a:rPr lang="fr-CA" sz="1400" b="0" i="0" u="none" strike="noStrike" kern="1200" spc="0" baseline="0">
                <a:solidFill>
                  <a:sysClr val="windowText" lastClr="000000">
                    <a:lumMod val="65000"/>
                    <a:lumOff val="35000"/>
                  </a:sysClr>
                </a:solidFill>
              </a:rPr>
              <a:t>Émissions indirectes liées à l'énergie (champ 2) de la collectivité de la municipalité du Canton d'Orford pour l'année 2022 </a:t>
            </a:r>
            <a:r>
              <a:rPr lang="fr-CA" sz="1400"/>
              <a:t> </a:t>
            </a:r>
          </a:p>
        </c:rich>
      </c:tx>
      <c:layout>
        <c:manualLayout>
          <c:xMode val="edge"/>
          <c:yMode val="edge"/>
          <c:x val="0.12732048291988268"/>
          <c:y val="0"/>
        </c:manualLayout>
      </c:layout>
      <c:overlay val="0"/>
      <c:spPr>
        <a:noFill/>
        <a:ln>
          <a:noFill/>
        </a:ln>
        <a:effectLst/>
      </c:sp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A3-4968-AEA3-D4014F3B53D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A3-4968-AEA3-D4014F3B53D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A3-4968-AEA3-D4014F3B53D0}"/>
              </c:ext>
            </c:extLst>
          </c:dPt>
          <c:dLbls>
            <c:dLbl>
              <c:idx val="2"/>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A3-4968-AEA3-D4014F3B53D0}"/>
                </c:ext>
              </c:extLst>
            </c:dLbl>
            <c:spPr>
              <a:noFill/>
              <a:ln>
                <a:noFill/>
              </a:ln>
              <a:effectLst/>
            </c:spPr>
            <c:txPr>
              <a:bodyPr wrap="square" lIns="38100" tIns="19050" rIns="38100" bIns="19050" anchor="ctr">
                <a:spAutoFit/>
              </a:bodyPr>
              <a:lstStyle/>
              <a:p>
                <a:pPr>
                  <a:defRPr sz="2500" baseline="0"/>
                </a:pPr>
                <a:endParaRPr lang="fr-FR"/>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21-D58F-446E-950C-B351ECB08BBB}"/>
            </c:ext>
          </c:extLst>
        </c:ser>
        <c:ser>
          <c:idx val="3"/>
          <c:order val="1"/>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22-D58F-446E-950C-B351ECB08BBB}"/>
            </c:ext>
          </c:extLst>
        </c:ser>
        <c:ser>
          <c:idx val="1"/>
          <c:order val="2"/>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18-D58F-446E-950C-B351ECB08BBB}"/>
            </c:ext>
          </c:extLst>
        </c:ser>
        <c:ser>
          <c:idx val="0"/>
          <c:order val="3"/>
          <c:cat>
            <c:strRef>
              <c:f>'Graphiques '!$A$66:$A$68</c:f>
              <c:strCache>
                <c:ptCount val="3"/>
                <c:pt idx="0">
                  <c:v>Résidentiel</c:v>
                </c:pt>
                <c:pt idx="1">
                  <c:v>Commercial et institutionnel</c:v>
                </c:pt>
                <c:pt idx="2">
                  <c:v>Agriculture</c:v>
                </c:pt>
              </c:strCache>
            </c:strRef>
          </c:cat>
          <c:val>
            <c:numRef>
              <c:f>'Graphiques '!$B$66:$B$68</c:f>
              <c:numCache>
                <c:formatCode>#,##0</c:formatCode>
                <c:ptCount val="3"/>
                <c:pt idx="0">
                  <c:v>0</c:v>
                </c:pt>
                <c:pt idx="1">
                  <c:v>0</c:v>
                </c:pt>
                <c:pt idx="2">
                  <c:v>0</c:v>
                </c:pt>
              </c:numCache>
            </c:numRef>
          </c:val>
          <c:extLst>
            <c:ext xmlns:c16="http://schemas.microsoft.com/office/drawing/2014/chart" uri="{C3380CC4-5D6E-409C-BE32-E72D297353CC}">
              <c16:uniqueId val="{00000020-D58F-446E-950C-B351ECB08BBB}"/>
            </c:ext>
          </c:extLst>
        </c:ser>
        <c:dLbls>
          <c:showLegendKey val="0"/>
          <c:showVal val="0"/>
          <c:showCatName val="0"/>
          <c:showSerName val="0"/>
          <c:showPercent val="0"/>
          <c:showBubbleSize val="0"/>
          <c:showLeaderLines val="1"/>
        </c:dLbls>
        <c:firstSliceAng val="0"/>
      </c:pieChart>
    </c:plotArea>
    <c:legend>
      <c:legendPos val="l"/>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chart>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8EA8C3"/>
            </a:solidFill>
          </c:spPr>
          <c:dPt>
            <c:idx val="0"/>
            <c:bubble3D val="0"/>
            <c:spPr>
              <a:solidFill>
                <a:srgbClr val="C46D5E"/>
              </a:solidFill>
              <a:ln w="19050">
                <a:solidFill>
                  <a:schemeClr val="lt1"/>
                </a:solidFill>
              </a:ln>
              <a:effectLst/>
            </c:spPr>
            <c:extLst>
              <c:ext xmlns:c16="http://schemas.microsoft.com/office/drawing/2014/chart" uri="{C3380CC4-5D6E-409C-BE32-E72D297353CC}">
                <c16:uniqueId val="{00000001-897B-46E5-8FAB-6A0DC7E1E158}"/>
              </c:ext>
            </c:extLst>
          </c:dPt>
          <c:dPt>
            <c:idx val="1"/>
            <c:bubble3D val="0"/>
            <c:spPr>
              <a:solidFill>
                <a:srgbClr val="A4A9AD"/>
              </a:solidFill>
              <a:ln w="19050">
                <a:solidFill>
                  <a:schemeClr val="lt1"/>
                </a:solidFill>
              </a:ln>
              <a:effectLst/>
            </c:spPr>
            <c:extLst>
              <c:ext xmlns:c16="http://schemas.microsoft.com/office/drawing/2014/chart" uri="{C3380CC4-5D6E-409C-BE32-E72D297353CC}">
                <c16:uniqueId val="{00000003-897B-46E5-8FAB-6A0DC7E1E158}"/>
              </c:ext>
            </c:extLst>
          </c:dPt>
          <c:dPt>
            <c:idx val="2"/>
            <c:bubble3D val="0"/>
            <c:spPr>
              <a:solidFill>
                <a:srgbClr val="1A936F"/>
              </a:solidFill>
              <a:ln w="19050">
                <a:solidFill>
                  <a:schemeClr val="lt1"/>
                </a:solidFill>
              </a:ln>
              <a:effectLst/>
            </c:spPr>
            <c:extLst>
              <c:ext xmlns:c16="http://schemas.microsoft.com/office/drawing/2014/chart" uri="{C3380CC4-5D6E-409C-BE32-E72D297353CC}">
                <c16:uniqueId val="{00000005-897B-46E5-8FAB-6A0DC7E1E158}"/>
              </c:ext>
            </c:extLst>
          </c:dPt>
          <c:dLbls>
            <c:dLbl>
              <c:idx val="1"/>
              <c:layout>
                <c:manualLayout>
                  <c:x val="0.15904332652969241"/>
                  <c:y val="-7.479694055441241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97B-46E5-8FAB-6A0DC7E1E158}"/>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'Graphiques '!$A$31:$A$33</c:f>
              <c:strCache>
                <c:ptCount val="3"/>
                <c:pt idx="0">
                  <c:v>Bâtiments et autres installations</c:v>
                </c:pt>
                <c:pt idx="1">
                  <c:v>Station d'épuration des eaux usées</c:v>
                </c:pt>
                <c:pt idx="2">
                  <c:v>Éclairage public</c:v>
                </c:pt>
              </c:strCache>
            </c:strRef>
          </c:cat>
          <c:val>
            <c:numRef>
              <c:f>'Graphiques '!$B$31:$B$33</c:f>
              <c:numCache>
                <c:formatCode>#,##0.00</c:formatCode>
                <c:ptCount val="3"/>
                <c:pt idx="0">
                  <c:v>0</c:v>
                </c:pt>
                <c:pt idx="1">
                  <c:v>0</c:v>
                </c:pt>
                <c:pt idx="2">
                  <c:v>0</c:v>
                </c:pt>
              </c:numCache>
            </c:numRef>
          </c:val>
          <c:extLst>
            <c:ext xmlns:c16="http://schemas.microsoft.com/office/drawing/2014/chart" uri="{C3380CC4-5D6E-409C-BE32-E72D297353CC}">
              <c16:uniqueId val="{00000006-897B-46E5-8FAB-6A0DC7E1E15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FFFF00"/>
            </a:solidFill>
          </c:spPr>
          <c:dPt>
            <c:idx val="0"/>
            <c:bubble3D val="0"/>
            <c:spPr>
              <a:solidFill>
                <a:srgbClr val="E06D06"/>
              </a:solidFill>
              <a:ln w="19050">
                <a:solidFill>
                  <a:schemeClr val="lt1"/>
                </a:solidFill>
              </a:ln>
              <a:effectLst/>
            </c:spPr>
            <c:extLst>
              <c:ext xmlns:c16="http://schemas.microsoft.com/office/drawing/2014/chart" uri="{C3380CC4-5D6E-409C-BE32-E72D297353CC}">
                <c16:uniqueId val="{00000001-84AB-4619-AA11-56FEAC63517D}"/>
              </c:ext>
            </c:extLst>
          </c:dPt>
          <c:dPt>
            <c:idx val="1"/>
            <c:bubble3D val="0"/>
            <c:spPr>
              <a:solidFill>
                <a:srgbClr val="E5C3D1"/>
              </a:solidFill>
              <a:ln w="19050">
                <a:solidFill>
                  <a:schemeClr val="lt1"/>
                </a:solidFill>
              </a:ln>
              <a:effectLst/>
            </c:spPr>
            <c:extLst>
              <c:ext xmlns:c16="http://schemas.microsoft.com/office/drawing/2014/chart" uri="{C3380CC4-5D6E-409C-BE32-E72D297353CC}">
                <c16:uniqueId val="{00000003-84AB-4619-AA11-56FEAC63517D}"/>
              </c:ext>
            </c:extLst>
          </c:dPt>
          <c:dPt>
            <c:idx val="2"/>
            <c:bubble3D val="0"/>
            <c:spPr>
              <a:solidFill>
                <a:srgbClr val="8EA8C3"/>
              </a:solidFill>
              <a:ln w="19050">
                <a:solidFill>
                  <a:schemeClr val="lt1"/>
                </a:solidFill>
              </a:ln>
              <a:effectLst/>
            </c:spPr>
            <c:extLst>
              <c:ext xmlns:c16="http://schemas.microsoft.com/office/drawing/2014/chart" uri="{C3380CC4-5D6E-409C-BE32-E72D297353CC}">
                <c16:uniqueId val="{00000005-84AB-4619-AA11-56FEAC63517D}"/>
              </c:ext>
            </c:extLst>
          </c:dPt>
          <c:dPt>
            <c:idx val="3"/>
            <c:bubble3D val="0"/>
            <c:spPr>
              <a:solidFill>
                <a:srgbClr val="EBEFCA"/>
              </a:solidFill>
              <a:ln w="19050">
                <a:solidFill>
                  <a:schemeClr val="lt1"/>
                </a:solidFill>
              </a:ln>
              <a:effectLst/>
            </c:spPr>
            <c:extLst>
              <c:ext xmlns:c16="http://schemas.microsoft.com/office/drawing/2014/chart" uri="{C3380CC4-5D6E-409C-BE32-E72D297353CC}">
                <c16:uniqueId val="{00000007-84AB-4619-AA11-56FEAC63517D}"/>
              </c:ext>
            </c:extLst>
          </c:dPt>
          <c:dPt>
            <c:idx val="4"/>
            <c:bubble3D val="0"/>
            <c:spPr>
              <a:solidFill>
                <a:srgbClr val="343432"/>
              </a:solidFill>
              <a:ln w="19050">
                <a:solidFill>
                  <a:schemeClr val="lt1"/>
                </a:solidFill>
              </a:ln>
              <a:effectLst/>
            </c:spPr>
            <c:extLst>
              <c:ext xmlns:c16="http://schemas.microsoft.com/office/drawing/2014/chart" uri="{C3380CC4-5D6E-409C-BE32-E72D297353CC}">
                <c16:uniqueId val="{00000009-84AB-4619-AA11-56FEAC63517D}"/>
              </c:ext>
            </c:extLst>
          </c:dPt>
          <c:dLbls>
            <c:dLbl>
              <c:idx val="4"/>
              <c:layout>
                <c:manualLayout>
                  <c:x val="-4.7348581987377875E-2"/>
                  <c:y val="-0.1338452189520482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AB-4619-AA11-56FEAC63517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'Graphiques '!$A$60:$A$64</c:f>
              <c:strCache>
                <c:ptCount val="5"/>
                <c:pt idx="0">
                  <c:v>Résidentiel</c:v>
                </c:pt>
                <c:pt idx="1">
                  <c:v>Commercial et institutionnel</c:v>
                </c:pt>
                <c:pt idx="2">
                  <c:v>Traitement des eaux usées</c:v>
                </c:pt>
                <c:pt idx="3">
                  <c:v>Agriculture</c:v>
                </c:pt>
                <c:pt idx="4">
                  <c:v>Transport </c:v>
                </c:pt>
              </c:strCache>
            </c:strRef>
          </c:cat>
          <c:val>
            <c:numRef>
              <c:f>'Graphiques '!$B$60:$B$64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4AB-4619-AA11-56FEAC63517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A" sz="1400" b="0" i="0" u="none" strike="noStrike" kern="1200" spc="0" baseline="0">
                <a:solidFill>
                  <a:sysClr val="windowText" lastClr="000000">
                    <a:lumMod val="65000"/>
                    <a:lumOff val="35000"/>
                  </a:sysClr>
                </a:solidFill>
              </a:rPr>
              <a:t>Figure 5: Émissions directes (champ 1) du secteur corporatif pour le transport des sous-traitants de la municipalité du Canton d'Orford pour l'année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FAE-4ABD-BF34-B4306928FF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FAE-4ABD-BF34-B4306928FF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FAE-4ABD-BF34-B4306928FF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FAE-4ABD-BF34-B4306928FFA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FAE-4ABD-BF34-B4306928FFA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FAE-4ABD-BF34-B4306928FFA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FAE-4ABD-BF34-B4306928FFA0}"/>
              </c:ext>
            </c:extLst>
          </c:dPt>
          <c:dLbls>
            <c:dLbl>
              <c:idx val="2"/>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BD78B8B-4B5D-40CF-A943-825BD1CFBCF6}" type="PERCENTAGE">
                      <a:rPr lang="en-US" sz="2400"/>
                      <a:pPr>
                        <a:defRPr/>
                      </a:pPr>
                      <a:t>[POURCENTAGE]</a:t>
                    </a:fld>
                    <a:endParaRPr lang="fr-CA"/>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extLst>
                <c:ext xmlns:c15="http://schemas.microsoft.com/office/drawing/2012/chart" uri="{CE6537A1-D6FC-4f65-9D91-7224C49458BB}">
                  <c15:layout>
                    <c:manualLayout>
                      <c:w val="0.12424295997322278"/>
                      <c:h val="0.10848521102460955"/>
                    </c:manualLayout>
                  </c15:layout>
                  <c15:dlblFieldTable/>
                  <c15:showDataLabelsRange val="0"/>
                </c:ext>
                <c:ext xmlns:c16="http://schemas.microsoft.com/office/drawing/2014/chart" uri="{C3380CC4-5D6E-409C-BE32-E72D297353CC}">
                  <c16:uniqueId val="{00000005-3FAE-4ABD-BF34-B4306928FFA0}"/>
                </c:ext>
              </c:extLst>
            </c:dLbl>
            <c:dLbl>
              <c:idx val="3"/>
              <c:layout>
                <c:manualLayout>
                  <c:x val="-0.14172390251469708"/>
                  <c:y val="-0.17280104796449164"/>
                </c:manualLayout>
              </c:layout>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FAE-4ABD-BF34-B4306928FFA0}"/>
                </c:ext>
              </c:extLst>
            </c:dLbl>
            <c:dLbl>
              <c:idx val="4"/>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FAE-4ABD-BF34-B4306928FFA0}"/>
                </c:ext>
              </c:extLst>
            </c:dLbl>
            <c:dLbl>
              <c:idx val="5"/>
              <c:layout>
                <c:manualLayout>
                  <c:x val="0.15590758503969415"/>
                  <c:y val="9.1933185526193575E-2"/>
                </c:manualLayout>
              </c:layout>
              <c:spPr>
                <a:noFill/>
                <a:ln>
                  <a:noFill/>
                </a:ln>
                <a:effectLst/>
              </c:spPr>
              <c:txPr>
                <a:bodyPr rot="0" spcFirstLastPara="1" vertOverflow="ellipsis" vert="horz" wrap="square" lIns="38100" tIns="19050" rIns="38100" bIns="19050" anchor="ctr" anchorCtr="1">
                  <a:spAutoFit/>
                </a:bodyPr>
                <a:lstStyle/>
                <a:p>
                  <a:pPr>
                    <a:defRPr sz="25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FAE-4ABD-BF34-B4306928FFA0}"/>
                </c:ext>
              </c:extLst>
            </c:dLbl>
            <c:dLbl>
              <c:idx val="6"/>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FAE-4ABD-BF34-B4306928FF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'Graphiques '!$A$19:$A$25</c:f>
              <c:strCache>
                <c:ptCount val="7"/>
                <c:pt idx="0">
                  <c:v>Déneigement </c:v>
                </c:pt>
                <c:pt idx="1">
                  <c:v>Entretien des routes</c:v>
                </c:pt>
                <c:pt idx="2">
                  <c:v>Transport et cueillette  des matières résiduelles</c:v>
                </c:pt>
                <c:pt idx="3">
                  <c:v>Transport et cueillette  des matières recyclables </c:v>
                </c:pt>
                <c:pt idx="4">
                  <c:v>Transport et cueillette  des matières organiques </c:v>
                </c:pt>
                <c:pt idx="5">
                  <c:v>Transport des matières récupérées à l'écocentre</c:v>
                </c:pt>
                <c:pt idx="6">
                  <c:v>Transport et cueillette des boues des fosses septiques </c:v>
                </c:pt>
              </c:strCache>
            </c:strRef>
          </c:cat>
          <c:val>
            <c:numRef>
              <c:f>'Graphiques '!$B$19:$B$25</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CE1-4185-9CFB-44D05E35861A}"/>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2.307369256645566E-2"/>
          <c:y val="0.13614781860424266"/>
          <c:w val="0.33120042597586274"/>
          <c:h val="0.830035292396679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81C3D7"/>
              </a:solidFill>
              <a:ln w="19050">
                <a:solidFill>
                  <a:schemeClr val="lt1"/>
                </a:solidFill>
              </a:ln>
              <a:effectLst/>
            </c:spPr>
            <c:extLst>
              <c:ext xmlns:c16="http://schemas.microsoft.com/office/drawing/2014/chart" uri="{C3380CC4-5D6E-409C-BE32-E72D297353CC}">
                <c16:uniqueId val="{00000001-392F-4776-BBD4-27200C8851C3}"/>
              </c:ext>
            </c:extLst>
          </c:dPt>
          <c:dPt>
            <c:idx val="1"/>
            <c:bubble3D val="0"/>
            <c:spPr>
              <a:solidFill>
                <a:srgbClr val="D65108"/>
              </a:solidFill>
              <a:ln w="19050">
                <a:solidFill>
                  <a:schemeClr val="lt1"/>
                </a:solidFill>
              </a:ln>
              <a:effectLst/>
            </c:spPr>
            <c:extLst>
              <c:ext xmlns:c16="http://schemas.microsoft.com/office/drawing/2014/chart" uri="{C3380CC4-5D6E-409C-BE32-E72D297353CC}">
                <c16:uniqueId val="{00000003-392F-4776-BBD4-27200C8851C3}"/>
              </c:ext>
            </c:extLst>
          </c:dPt>
          <c:dPt>
            <c:idx val="2"/>
            <c:bubble3D val="0"/>
            <c:spPr>
              <a:solidFill>
                <a:srgbClr val="99C628"/>
              </a:solidFill>
              <a:ln w="19050">
                <a:solidFill>
                  <a:schemeClr val="lt1"/>
                </a:solidFill>
              </a:ln>
              <a:effectLst/>
            </c:spPr>
            <c:extLst>
              <c:ext xmlns:c16="http://schemas.microsoft.com/office/drawing/2014/chart" uri="{C3380CC4-5D6E-409C-BE32-E72D297353CC}">
                <c16:uniqueId val="{00000005-392F-4776-BBD4-27200C8851C3}"/>
              </c:ext>
            </c:extLst>
          </c:dPt>
          <c:dPt>
            <c:idx val="3"/>
            <c:bubble3D val="0"/>
            <c:spPr>
              <a:solidFill>
                <a:srgbClr val="20A39E"/>
              </a:solidFill>
              <a:ln w="19050">
                <a:solidFill>
                  <a:schemeClr val="lt1"/>
                </a:solidFill>
              </a:ln>
              <a:effectLst/>
            </c:spPr>
            <c:extLst>
              <c:ext xmlns:c16="http://schemas.microsoft.com/office/drawing/2014/chart" uri="{C3380CC4-5D6E-409C-BE32-E72D297353CC}">
                <c16:uniqueId val="{00000007-392F-4776-BBD4-27200C8851C3}"/>
              </c:ext>
            </c:extLst>
          </c:dPt>
          <c:dPt>
            <c:idx val="4"/>
            <c:bubble3D val="0"/>
            <c:spPr>
              <a:solidFill>
                <a:srgbClr val="EF5B5B"/>
              </a:solidFill>
              <a:ln w="19050">
                <a:solidFill>
                  <a:schemeClr val="lt1"/>
                </a:solidFill>
              </a:ln>
              <a:effectLst/>
            </c:spPr>
            <c:extLst>
              <c:ext xmlns:c16="http://schemas.microsoft.com/office/drawing/2014/chart" uri="{C3380CC4-5D6E-409C-BE32-E72D297353CC}">
                <c16:uniqueId val="{00000009-392F-4776-BBD4-27200C8851C3}"/>
              </c:ext>
            </c:extLst>
          </c:dPt>
          <c:dPt>
            <c:idx val="5"/>
            <c:bubble3D val="0"/>
            <c:spPr>
              <a:solidFill>
                <a:srgbClr val="A69CAC"/>
              </a:solidFill>
              <a:ln w="19050">
                <a:solidFill>
                  <a:schemeClr val="lt1"/>
                </a:solidFill>
              </a:ln>
              <a:effectLst/>
            </c:spPr>
            <c:extLst>
              <c:ext xmlns:c16="http://schemas.microsoft.com/office/drawing/2014/chart" uri="{C3380CC4-5D6E-409C-BE32-E72D297353CC}">
                <c16:uniqueId val="{0000000B-392F-4776-BBD4-27200C8851C3}"/>
              </c:ext>
            </c:extLst>
          </c:dPt>
          <c:dPt>
            <c:idx val="6"/>
            <c:bubble3D val="0"/>
            <c:spPr>
              <a:solidFill>
                <a:srgbClr val="FCB9B2"/>
              </a:solidFill>
              <a:ln w="19050">
                <a:solidFill>
                  <a:schemeClr val="lt1"/>
                </a:solidFill>
              </a:ln>
              <a:effectLst/>
            </c:spPr>
            <c:extLst>
              <c:ext xmlns:c16="http://schemas.microsoft.com/office/drawing/2014/chart" uri="{C3380CC4-5D6E-409C-BE32-E72D297353CC}">
                <c16:uniqueId val="{0000000D-392F-4776-BBD4-27200C8851C3}"/>
              </c:ext>
            </c:extLst>
          </c:dPt>
          <c:dLbls>
            <c:dLbl>
              <c:idx val="2"/>
              <c:tx>
                <c:rich>
                  <a:bodyPr/>
                  <a:lstStyle/>
                  <a:p>
                    <a:r>
                      <a:rPr lang="en-US" baseline="0"/>
                      <a:t> </a:t>
                    </a:r>
                    <a:fld id="{AFF29825-25AE-44FE-B844-7019117B90AB}" type="PERCENTAGE">
                      <a:rPr lang="en-US" baseline="0"/>
                      <a:pPr/>
                      <a:t>[POURCENTAGE]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392F-4776-BBD4-27200C8851C3}"/>
                </c:ext>
              </c:extLst>
            </c:dLbl>
            <c:dLbl>
              <c:idx val="6"/>
              <c:layout>
                <c:manualLayout>
                  <c:x val="2.5463158468020303E-2"/>
                  <c:y val="0.1055429753564965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92F-4776-BBD4-27200C8851C3}"/>
                </c:ext>
              </c:extLst>
            </c:dLbl>
            <c:spPr>
              <a:noFill/>
              <a:ln>
                <a:noFill/>
              </a:ln>
              <a:effectLst/>
            </c:spPr>
            <c:txPr>
              <a:bodyPr wrap="square" lIns="38100" tIns="19050" rIns="38100" bIns="19050" anchor="ctr">
                <a:spAutoFit/>
              </a:bodyPr>
              <a:lstStyle/>
              <a:p>
                <a:pPr>
                  <a:defRPr sz="1800"/>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'Graphiques '!$A$19:$A$25</c:f>
              <c:strCache>
                <c:ptCount val="7"/>
                <c:pt idx="0">
                  <c:v>Déneigement </c:v>
                </c:pt>
                <c:pt idx="1">
                  <c:v>Entretien des routes</c:v>
                </c:pt>
                <c:pt idx="2">
                  <c:v>Transport et cueillette  des matières résiduelles</c:v>
                </c:pt>
                <c:pt idx="3">
                  <c:v>Transport et cueillette  des matières recyclables </c:v>
                </c:pt>
                <c:pt idx="4">
                  <c:v>Transport et cueillette  des matières organiques </c:v>
                </c:pt>
                <c:pt idx="5">
                  <c:v>Transport des matières récupérées à l'écocentre</c:v>
                </c:pt>
                <c:pt idx="6">
                  <c:v>Transport et cueillette des boues des fosses septiques </c:v>
                </c:pt>
              </c:strCache>
            </c:strRef>
          </c:cat>
          <c:val>
            <c:numRef>
              <c:f>'Graphiques '!$B$19:$B$25</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392F-4776-BBD4-27200C8851C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6</xdr:col>
      <xdr:colOff>588424</xdr:colOff>
      <xdr:row>0</xdr:row>
      <xdr:rowOff>47625</xdr:rowOff>
    </xdr:from>
    <xdr:to>
      <xdr:col>7</xdr:col>
      <xdr:colOff>749300</xdr:colOff>
      <xdr:row>5</xdr:row>
      <xdr:rowOff>20410</xdr:rowOff>
    </xdr:to>
    <xdr:pic>
      <xdr:nvPicPr>
        <xdr:cNvPr id="3" name="Image 2">
          <a:extLst>
            <a:ext uri="{FF2B5EF4-FFF2-40B4-BE49-F238E27FC236}">
              <a16:creationId xmlns:a16="http://schemas.microsoft.com/office/drawing/2014/main" id="{F2496CF9-BEFB-CF19-49EC-D85658581E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0424" y="47625"/>
          <a:ext cx="922876" cy="925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23812</xdr:rowOff>
    </xdr:from>
    <xdr:to>
      <xdr:col>2</xdr:col>
      <xdr:colOff>625929</xdr:colOff>
      <xdr:row>55</xdr:row>
      <xdr:rowOff>0</xdr:rowOff>
    </xdr:to>
    <xdr:graphicFrame macro="">
      <xdr:nvGraphicFramePr>
        <xdr:cNvPr id="431" name="Graphique 6">
          <a:extLst>
            <a:ext uri="{FF2B5EF4-FFF2-40B4-BE49-F238E27FC236}">
              <a16:creationId xmlns:a16="http://schemas.microsoft.com/office/drawing/2014/main" id="{8951DB35-D1D1-B3EC-D475-5F8BEF2305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3347</xdr:colOff>
      <xdr:row>24</xdr:row>
      <xdr:rowOff>76972</xdr:rowOff>
    </xdr:from>
    <xdr:to>
      <xdr:col>13</xdr:col>
      <xdr:colOff>146222</xdr:colOff>
      <xdr:row>47</xdr:row>
      <xdr:rowOff>97567</xdr:rowOff>
    </xdr:to>
    <xdr:graphicFrame macro="">
      <xdr:nvGraphicFramePr>
        <xdr:cNvPr id="432" name="Graphique 7">
          <a:extLst>
            <a:ext uri="{FF2B5EF4-FFF2-40B4-BE49-F238E27FC236}">
              <a16:creationId xmlns:a16="http://schemas.microsoft.com/office/drawing/2014/main" id="{AD2CE6E5-C107-92EF-AA0E-72868893AF50}"/>
            </a:ext>
            <a:ext uri="{147F2762-F138-4A5C-976F-8EAC2B608ADB}">
              <a16:predDERef xmlns:a16="http://schemas.microsoft.com/office/drawing/2014/main" pred="{8951DB35-D1D1-B3EC-D475-5F8BEF2305C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13608</xdr:colOff>
      <xdr:row>49</xdr:row>
      <xdr:rowOff>109536</xdr:rowOff>
    </xdr:from>
    <xdr:to>
      <xdr:col>12</xdr:col>
      <xdr:colOff>108857</xdr:colOff>
      <xdr:row>72</xdr:row>
      <xdr:rowOff>122464</xdr:rowOff>
    </xdr:to>
    <xdr:graphicFrame macro="">
      <xdr:nvGraphicFramePr>
        <xdr:cNvPr id="502" name="Graphique 8">
          <a:extLst>
            <a:ext uri="{FF2B5EF4-FFF2-40B4-BE49-F238E27FC236}">
              <a16:creationId xmlns:a16="http://schemas.microsoft.com/office/drawing/2014/main" id="{033C6C4E-4290-F5C3-50FB-107266B64DB3}"/>
            </a:ext>
            <a:ext uri="{147F2762-F138-4A5C-976F-8EAC2B608ADB}">
              <a16:predDERef xmlns:a16="http://schemas.microsoft.com/office/drawing/2014/main" pred="{AD2CE6E5-C107-92EF-AA0E-72868893AF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733425</xdr:colOff>
      <xdr:row>0</xdr:row>
      <xdr:rowOff>0</xdr:rowOff>
    </xdr:from>
    <xdr:to>
      <xdr:col>11</xdr:col>
      <xdr:colOff>517073</xdr:colOff>
      <xdr:row>23</xdr:row>
      <xdr:rowOff>136070</xdr:rowOff>
    </xdr:to>
    <xdr:graphicFrame macro="">
      <xdr:nvGraphicFramePr>
        <xdr:cNvPr id="388" name="Graphique 5">
          <a:extLst>
            <a:ext uri="{FF2B5EF4-FFF2-40B4-BE49-F238E27FC236}">
              <a16:creationId xmlns:a16="http://schemas.microsoft.com/office/drawing/2014/main" id="{51B9DC73-8322-71CE-3AC1-BB2E34A84ADB}"/>
            </a:ext>
            <a:ext uri="{147F2762-F138-4A5C-976F-8EAC2B608ADB}">
              <a16:predDERef xmlns:a16="http://schemas.microsoft.com/office/drawing/2014/main" pred="{033C6C4E-4290-F5C3-50FB-107266B64D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81496</xdr:colOff>
      <xdr:row>79</xdr:row>
      <xdr:rowOff>108857</xdr:rowOff>
    </xdr:from>
    <xdr:to>
      <xdr:col>10</xdr:col>
      <xdr:colOff>367393</xdr:colOff>
      <xdr:row>106</xdr:row>
      <xdr:rowOff>27030</xdr:rowOff>
    </xdr:to>
    <xdr:graphicFrame macro="">
      <xdr:nvGraphicFramePr>
        <xdr:cNvPr id="601" name="Graphique 11">
          <a:extLst>
            <a:ext uri="{FF2B5EF4-FFF2-40B4-BE49-F238E27FC236}">
              <a16:creationId xmlns:a16="http://schemas.microsoft.com/office/drawing/2014/main" id="{5132A09E-887D-66FD-F630-DC0A713F4A7C}"/>
            </a:ext>
            <a:ext uri="{147F2762-F138-4A5C-976F-8EAC2B608ADB}">
              <a16:predDERef xmlns:a16="http://schemas.microsoft.com/office/drawing/2014/main" pred="{51B9DC73-8322-71CE-3AC1-BB2E34A84A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215875</xdr:colOff>
      <xdr:row>26</xdr:row>
      <xdr:rowOff>174686</xdr:rowOff>
    </xdr:from>
    <xdr:to>
      <xdr:col>22</xdr:col>
      <xdr:colOff>361325</xdr:colOff>
      <xdr:row>50</xdr:row>
      <xdr:rowOff>4781</xdr:rowOff>
    </xdr:to>
    <xdr:graphicFrame macro="">
      <xdr:nvGraphicFramePr>
        <xdr:cNvPr id="5" name="Graphique 7">
          <a:extLst>
            <a:ext uri="{FF2B5EF4-FFF2-40B4-BE49-F238E27FC236}">
              <a16:creationId xmlns:a16="http://schemas.microsoft.com/office/drawing/2014/main" id="{CA43418C-2BA8-4814-9009-8462C6E84E2F}"/>
            </a:ext>
            <a:ext uri="{147F2762-F138-4A5C-976F-8EAC2B608ADB}">
              <a16:predDERef xmlns:a16="http://schemas.microsoft.com/office/drawing/2014/main" pred="{5132A09E-887D-66FD-F630-DC0A713F4A7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271038</xdr:colOff>
      <xdr:row>52</xdr:row>
      <xdr:rowOff>102974</xdr:rowOff>
    </xdr:from>
    <xdr:to>
      <xdr:col>22</xdr:col>
      <xdr:colOff>685505</xdr:colOff>
      <xdr:row>74</xdr:row>
      <xdr:rowOff>12137</xdr:rowOff>
    </xdr:to>
    <xdr:graphicFrame macro="">
      <xdr:nvGraphicFramePr>
        <xdr:cNvPr id="6" name="Graphique 8">
          <a:extLst>
            <a:ext uri="{FF2B5EF4-FFF2-40B4-BE49-F238E27FC236}">
              <a16:creationId xmlns:a16="http://schemas.microsoft.com/office/drawing/2014/main" id="{A90C7BF7-F6B2-43EC-A9B7-0063A81860E9}"/>
            </a:ext>
            <a:ext uri="{147F2762-F138-4A5C-976F-8EAC2B608ADB}">
              <a16:predDERef xmlns:a16="http://schemas.microsoft.com/office/drawing/2014/main" pred="{CA43418C-2BA8-4814-9009-8462C6E84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276739</xdr:colOff>
      <xdr:row>111</xdr:row>
      <xdr:rowOff>171520</xdr:rowOff>
    </xdr:from>
    <xdr:to>
      <xdr:col>12</xdr:col>
      <xdr:colOff>574074</xdr:colOff>
      <xdr:row>144</xdr:row>
      <xdr:rowOff>115108</xdr:rowOff>
    </xdr:to>
    <xdr:graphicFrame macro="">
      <xdr:nvGraphicFramePr>
        <xdr:cNvPr id="569" name="Graphique 8">
          <a:extLst>
            <a:ext uri="{FF2B5EF4-FFF2-40B4-BE49-F238E27FC236}">
              <a16:creationId xmlns:a16="http://schemas.microsoft.com/office/drawing/2014/main" id="{B3694D86-1AC9-7662-5F4F-D4DEB7882708}"/>
            </a:ext>
            <a:ext uri="{147F2762-F138-4A5C-976F-8EAC2B608ADB}">
              <a16:predDERef xmlns:a16="http://schemas.microsoft.com/office/drawing/2014/main" pred="{A90C7BF7-F6B2-43EC-A9B7-0063A81860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163284</xdr:colOff>
      <xdr:row>115</xdr:row>
      <xdr:rowOff>149677</xdr:rowOff>
    </xdr:from>
    <xdr:to>
      <xdr:col>28</xdr:col>
      <xdr:colOff>163285</xdr:colOff>
      <xdr:row>153</xdr:row>
      <xdr:rowOff>95248</xdr:rowOff>
    </xdr:to>
    <xdr:graphicFrame macro="">
      <xdr:nvGraphicFramePr>
        <xdr:cNvPr id="2" name="Graphique 12">
          <a:extLst>
            <a:ext uri="{FF2B5EF4-FFF2-40B4-BE49-F238E27FC236}">
              <a16:creationId xmlns:a16="http://schemas.microsoft.com/office/drawing/2014/main" id="{CE28FDFA-6E4E-4807-A8BB-72502C55F67C}"/>
            </a:ext>
            <a:ext uri="{147F2762-F138-4A5C-976F-8EAC2B608ADB}">
              <a16:predDERef xmlns:a16="http://schemas.microsoft.com/office/drawing/2014/main" pred="{B3694D86-1AC9-7662-5F4F-D4DEB7882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517071</xdr:colOff>
      <xdr:row>77</xdr:row>
      <xdr:rowOff>13606</xdr:rowOff>
    </xdr:from>
    <xdr:to>
      <xdr:col>22</xdr:col>
      <xdr:colOff>149679</xdr:colOff>
      <xdr:row>111</xdr:row>
      <xdr:rowOff>149677</xdr:rowOff>
    </xdr:to>
    <xdr:graphicFrame macro="">
      <xdr:nvGraphicFramePr>
        <xdr:cNvPr id="3" name="Graphique 11">
          <a:extLst>
            <a:ext uri="{FF2B5EF4-FFF2-40B4-BE49-F238E27FC236}">
              <a16:creationId xmlns:a16="http://schemas.microsoft.com/office/drawing/2014/main" id="{B27A229C-00BA-496C-827F-AF3623523A05}"/>
            </a:ext>
            <a:ext uri="{147F2762-F138-4A5C-976F-8EAC2B608ADB}">
              <a16:predDERef xmlns:a16="http://schemas.microsoft.com/office/drawing/2014/main" pred="{CE28FDFA-6E4E-4807-A8BB-72502C55F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761999</xdr:colOff>
      <xdr:row>0</xdr:row>
      <xdr:rowOff>0</xdr:rowOff>
    </xdr:from>
    <xdr:to>
      <xdr:col>22</xdr:col>
      <xdr:colOff>299356</xdr:colOff>
      <xdr:row>25</xdr:row>
      <xdr:rowOff>81642</xdr:rowOff>
    </xdr:to>
    <xdr:graphicFrame macro="">
      <xdr:nvGraphicFramePr>
        <xdr:cNvPr id="10" name="Chart 6">
          <a:extLst>
            <a:ext uri="{FF2B5EF4-FFF2-40B4-BE49-F238E27FC236}">
              <a16:creationId xmlns:a16="http://schemas.microsoft.com/office/drawing/2014/main" id="{F827EC42-CEEB-4204-AF84-7ECEC3795D35}"/>
            </a:ext>
            <a:ext uri="{147F2762-F138-4A5C-976F-8EAC2B608ADB}">
              <a16:predDERef xmlns:a16="http://schemas.microsoft.com/office/drawing/2014/main" pred="{B27A229C-00BA-496C-827F-AF3623523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277</xdr:row>
      <xdr:rowOff>1371600</xdr:rowOff>
    </xdr:from>
    <xdr:to>
      <xdr:col>0</xdr:col>
      <xdr:colOff>4639725</xdr:colOff>
      <xdr:row>283</xdr:row>
      <xdr:rowOff>1868</xdr:rowOff>
    </xdr:to>
    <xdr:pic>
      <xdr:nvPicPr>
        <xdr:cNvPr id="14" name="Image 3">
          <a:extLst>
            <a:ext uri="{FF2B5EF4-FFF2-40B4-BE49-F238E27FC236}">
              <a16:creationId xmlns:a16="http://schemas.microsoft.com/office/drawing/2014/main" id="{A3DB577F-8DCE-051B-2439-D6758C09D831}"/>
            </a:ext>
          </a:extLst>
        </xdr:cNvPr>
        <xdr:cNvPicPr>
          <a:picLocks noChangeAspect="1"/>
        </xdr:cNvPicPr>
      </xdr:nvPicPr>
      <xdr:blipFill>
        <a:blip xmlns:r="http://schemas.openxmlformats.org/officeDocument/2006/relationships" r:embed="rId1"/>
        <a:stretch>
          <a:fillRect/>
        </a:stretch>
      </xdr:blipFill>
      <xdr:spPr>
        <a:xfrm>
          <a:off x="0" y="83515200"/>
          <a:ext cx="4639725" cy="2857500"/>
        </a:xfrm>
        <a:prstGeom prst="rect">
          <a:avLst/>
        </a:prstGeom>
      </xdr:spPr>
    </xdr:pic>
    <xdr:clientData/>
  </xdr:twoCellAnchor>
  <xdr:twoCellAnchor editAs="oneCell">
    <xdr:from>
      <xdr:col>0</xdr:col>
      <xdr:colOff>219075</xdr:colOff>
      <xdr:row>422</xdr:row>
      <xdr:rowOff>171450</xdr:rowOff>
    </xdr:from>
    <xdr:to>
      <xdr:col>0</xdr:col>
      <xdr:colOff>2381250</xdr:colOff>
      <xdr:row>432</xdr:row>
      <xdr:rowOff>8816</xdr:rowOff>
    </xdr:to>
    <xdr:pic>
      <xdr:nvPicPr>
        <xdr:cNvPr id="2" name="Image 1">
          <a:extLst>
            <a:ext uri="{FF2B5EF4-FFF2-40B4-BE49-F238E27FC236}">
              <a16:creationId xmlns:a16="http://schemas.microsoft.com/office/drawing/2014/main" id="{9FD749E5-6C6D-517D-3AC6-0786453A49AB}"/>
            </a:ext>
          </a:extLst>
        </xdr:cNvPr>
        <xdr:cNvPicPr>
          <a:picLocks noChangeAspect="1"/>
        </xdr:cNvPicPr>
      </xdr:nvPicPr>
      <xdr:blipFill>
        <a:blip xmlns:r="http://schemas.openxmlformats.org/officeDocument/2006/relationships" r:embed="rId2"/>
        <a:stretch>
          <a:fillRect/>
        </a:stretch>
      </xdr:blipFill>
      <xdr:spPr>
        <a:xfrm>
          <a:off x="219075" y="154495500"/>
          <a:ext cx="2162175" cy="2551990"/>
        </a:xfrm>
        <a:prstGeom prst="rect">
          <a:avLst/>
        </a:prstGeom>
      </xdr:spPr>
    </xdr:pic>
    <xdr:clientData/>
  </xdr:twoCellAnchor>
  <xdr:twoCellAnchor editAs="oneCell">
    <xdr:from>
      <xdr:col>0</xdr:col>
      <xdr:colOff>3009900</xdr:colOff>
      <xdr:row>417</xdr:row>
      <xdr:rowOff>95250</xdr:rowOff>
    </xdr:from>
    <xdr:to>
      <xdr:col>2</xdr:col>
      <xdr:colOff>3191853</xdr:colOff>
      <xdr:row>435</xdr:row>
      <xdr:rowOff>19630</xdr:rowOff>
    </xdr:to>
    <xdr:pic>
      <xdr:nvPicPr>
        <xdr:cNvPr id="5" name="Image 4">
          <a:extLst>
            <a:ext uri="{FF2B5EF4-FFF2-40B4-BE49-F238E27FC236}">
              <a16:creationId xmlns:a16="http://schemas.microsoft.com/office/drawing/2014/main" id="{9E754071-A34F-1D8A-1EA1-BAEF71B97BC7}"/>
            </a:ext>
          </a:extLst>
        </xdr:cNvPr>
        <xdr:cNvPicPr>
          <a:picLocks noChangeAspect="1"/>
        </xdr:cNvPicPr>
      </xdr:nvPicPr>
      <xdr:blipFill>
        <a:blip xmlns:r="http://schemas.openxmlformats.org/officeDocument/2006/relationships" r:embed="rId3"/>
        <a:stretch>
          <a:fillRect/>
        </a:stretch>
      </xdr:blipFill>
      <xdr:spPr>
        <a:xfrm>
          <a:off x="3009900" y="153038175"/>
          <a:ext cx="7011378" cy="4163006"/>
        </a:xfrm>
        <a:prstGeom prst="rect">
          <a:avLst/>
        </a:prstGeom>
      </xdr:spPr>
    </xdr:pic>
    <xdr:clientData/>
  </xdr:twoCellAnchor>
  <xdr:twoCellAnchor editAs="oneCell">
    <xdr:from>
      <xdr:col>0</xdr:col>
      <xdr:colOff>0</xdr:colOff>
      <xdr:row>450</xdr:row>
      <xdr:rowOff>0</xdr:rowOff>
    </xdr:from>
    <xdr:to>
      <xdr:col>0</xdr:col>
      <xdr:colOff>5115733</xdr:colOff>
      <xdr:row>458</xdr:row>
      <xdr:rowOff>123825</xdr:rowOff>
    </xdr:to>
    <xdr:pic>
      <xdr:nvPicPr>
        <xdr:cNvPr id="7" name="Image 6">
          <a:extLst>
            <a:ext uri="{FF2B5EF4-FFF2-40B4-BE49-F238E27FC236}">
              <a16:creationId xmlns:a16="http://schemas.microsoft.com/office/drawing/2014/main" id="{232BCCE6-AC55-C428-CBC7-8DB74739D9EA}"/>
            </a:ext>
          </a:extLst>
        </xdr:cNvPr>
        <xdr:cNvPicPr>
          <a:picLocks noChangeAspect="1"/>
        </xdr:cNvPicPr>
      </xdr:nvPicPr>
      <xdr:blipFill>
        <a:blip xmlns:r="http://schemas.openxmlformats.org/officeDocument/2006/relationships" r:embed="rId4"/>
        <a:stretch>
          <a:fillRect/>
        </a:stretch>
      </xdr:blipFill>
      <xdr:spPr>
        <a:xfrm>
          <a:off x="0" y="160191450"/>
          <a:ext cx="5115733" cy="2219325"/>
        </a:xfrm>
        <a:prstGeom prst="rect">
          <a:avLst/>
        </a:prstGeom>
      </xdr:spPr>
    </xdr:pic>
    <xdr:clientData/>
  </xdr:twoCellAnchor>
  <xdr:twoCellAnchor editAs="oneCell">
    <xdr:from>
      <xdr:col>1</xdr:col>
      <xdr:colOff>161925</xdr:colOff>
      <xdr:row>443</xdr:row>
      <xdr:rowOff>95249</xdr:rowOff>
    </xdr:from>
    <xdr:to>
      <xdr:col>2</xdr:col>
      <xdr:colOff>2248297</xdr:colOff>
      <xdr:row>456</xdr:row>
      <xdr:rowOff>153109</xdr:rowOff>
    </xdr:to>
    <xdr:pic>
      <xdr:nvPicPr>
        <xdr:cNvPr id="16" name="Image 5">
          <a:extLst>
            <a:ext uri="{FF2B5EF4-FFF2-40B4-BE49-F238E27FC236}">
              <a16:creationId xmlns:a16="http://schemas.microsoft.com/office/drawing/2014/main" id="{E4BCD34B-CBA5-CB46-469D-CF60B9F7DBB5}"/>
            </a:ext>
          </a:extLst>
        </xdr:cNvPr>
        <xdr:cNvPicPr>
          <a:picLocks noChangeAspect="1"/>
        </xdr:cNvPicPr>
      </xdr:nvPicPr>
      <xdr:blipFill>
        <a:blip xmlns:r="http://schemas.openxmlformats.org/officeDocument/2006/relationships" r:embed="rId5"/>
        <a:stretch>
          <a:fillRect/>
        </a:stretch>
      </xdr:blipFill>
      <xdr:spPr>
        <a:xfrm>
          <a:off x="5800725" y="160248599"/>
          <a:ext cx="4429523" cy="3724985"/>
        </a:xfrm>
        <a:prstGeom prst="rect">
          <a:avLst/>
        </a:prstGeom>
      </xdr:spPr>
    </xdr:pic>
    <xdr:clientData/>
  </xdr:twoCellAnchor>
  <xdr:twoCellAnchor editAs="oneCell">
    <xdr:from>
      <xdr:col>0</xdr:col>
      <xdr:colOff>38100</xdr:colOff>
      <xdr:row>472</xdr:row>
      <xdr:rowOff>33627</xdr:rowOff>
    </xdr:from>
    <xdr:to>
      <xdr:col>0</xdr:col>
      <xdr:colOff>5194005</xdr:colOff>
      <xdr:row>479</xdr:row>
      <xdr:rowOff>123825</xdr:rowOff>
    </xdr:to>
    <xdr:pic>
      <xdr:nvPicPr>
        <xdr:cNvPr id="28" name="Image 7">
          <a:extLst>
            <a:ext uri="{FF2B5EF4-FFF2-40B4-BE49-F238E27FC236}">
              <a16:creationId xmlns:a16="http://schemas.microsoft.com/office/drawing/2014/main" id="{5A640BE7-FA5D-787B-C203-E44CF0F37A0D}"/>
            </a:ext>
          </a:extLst>
        </xdr:cNvPr>
        <xdr:cNvPicPr>
          <a:picLocks noChangeAspect="1"/>
        </xdr:cNvPicPr>
      </xdr:nvPicPr>
      <xdr:blipFill>
        <a:blip xmlns:r="http://schemas.openxmlformats.org/officeDocument/2006/relationships" r:embed="rId6"/>
        <a:stretch>
          <a:fillRect/>
        </a:stretch>
      </xdr:blipFill>
      <xdr:spPr>
        <a:xfrm>
          <a:off x="38100" y="165854352"/>
          <a:ext cx="5155905" cy="1757073"/>
        </a:xfrm>
        <a:prstGeom prst="rect">
          <a:avLst/>
        </a:prstGeom>
      </xdr:spPr>
    </xdr:pic>
    <xdr:clientData/>
  </xdr:twoCellAnchor>
  <xdr:twoCellAnchor editAs="oneCell">
    <xdr:from>
      <xdr:col>0</xdr:col>
      <xdr:colOff>530225</xdr:colOff>
      <xdr:row>478</xdr:row>
      <xdr:rowOff>173038</xdr:rowOff>
    </xdr:from>
    <xdr:to>
      <xdr:col>0</xdr:col>
      <xdr:colOff>5183188</xdr:colOff>
      <xdr:row>481</xdr:row>
      <xdr:rowOff>245582</xdr:rowOff>
    </xdr:to>
    <xdr:pic>
      <xdr:nvPicPr>
        <xdr:cNvPr id="18" name="Image 8">
          <a:extLst>
            <a:ext uri="{FF2B5EF4-FFF2-40B4-BE49-F238E27FC236}">
              <a16:creationId xmlns:a16="http://schemas.microsoft.com/office/drawing/2014/main" id="{1063DD5A-C871-DCB1-7992-10806C3E76F7}"/>
            </a:ext>
          </a:extLst>
        </xdr:cNvPr>
        <xdr:cNvPicPr>
          <a:picLocks noChangeAspect="1"/>
        </xdr:cNvPicPr>
      </xdr:nvPicPr>
      <xdr:blipFill>
        <a:blip xmlns:r="http://schemas.openxmlformats.org/officeDocument/2006/relationships" r:embed="rId7"/>
        <a:stretch>
          <a:fillRect/>
        </a:stretch>
      </xdr:blipFill>
      <xdr:spPr>
        <a:xfrm>
          <a:off x="530225" y="168289288"/>
          <a:ext cx="4652963" cy="929795"/>
        </a:xfrm>
        <a:prstGeom prst="rect">
          <a:avLst/>
        </a:prstGeom>
      </xdr:spPr>
    </xdr:pic>
    <xdr:clientData/>
  </xdr:twoCellAnchor>
  <xdr:twoCellAnchor editAs="oneCell">
    <xdr:from>
      <xdr:col>0</xdr:col>
      <xdr:colOff>5343525</xdr:colOff>
      <xdr:row>471</xdr:row>
      <xdr:rowOff>111616</xdr:rowOff>
    </xdr:from>
    <xdr:to>
      <xdr:col>2</xdr:col>
      <xdr:colOff>3192469</xdr:colOff>
      <xdr:row>480</xdr:row>
      <xdr:rowOff>9896</xdr:rowOff>
    </xdr:to>
    <xdr:pic>
      <xdr:nvPicPr>
        <xdr:cNvPr id="33" name="Image 9">
          <a:extLst>
            <a:ext uri="{FF2B5EF4-FFF2-40B4-BE49-F238E27FC236}">
              <a16:creationId xmlns:a16="http://schemas.microsoft.com/office/drawing/2014/main" id="{4AA7750B-BFD0-8454-BC70-136DBA1FC878}"/>
            </a:ext>
          </a:extLst>
        </xdr:cNvPr>
        <xdr:cNvPicPr>
          <a:picLocks noChangeAspect="1"/>
        </xdr:cNvPicPr>
      </xdr:nvPicPr>
      <xdr:blipFill>
        <a:blip xmlns:r="http://schemas.openxmlformats.org/officeDocument/2006/relationships" r:embed="rId8"/>
        <a:stretch>
          <a:fillRect/>
        </a:stretch>
      </xdr:blipFill>
      <xdr:spPr>
        <a:xfrm>
          <a:off x="5343525" y="165741841"/>
          <a:ext cx="4716469" cy="1993780"/>
        </a:xfrm>
        <a:prstGeom prst="rect">
          <a:avLst/>
        </a:prstGeom>
      </xdr:spPr>
    </xdr:pic>
    <xdr:clientData/>
  </xdr:twoCellAnchor>
  <xdr:twoCellAnchor editAs="oneCell">
    <xdr:from>
      <xdr:col>0</xdr:col>
      <xdr:colOff>0</xdr:colOff>
      <xdr:row>491</xdr:row>
      <xdr:rowOff>142874</xdr:rowOff>
    </xdr:from>
    <xdr:to>
      <xdr:col>0</xdr:col>
      <xdr:colOff>4867275</xdr:colOff>
      <xdr:row>499</xdr:row>
      <xdr:rowOff>133607</xdr:rowOff>
    </xdr:to>
    <xdr:pic>
      <xdr:nvPicPr>
        <xdr:cNvPr id="52" name="Image 10">
          <a:extLst>
            <a:ext uri="{FF2B5EF4-FFF2-40B4-BE49-F238E27FC236}">
              <a16:creationId xmlns:a16="http://schemas.microsoft.com/office/drawing/2014/main" id="{91EBB4DE-DEC7-51E8-424E-A96C2D155FFA}"/>
            </a:ext>
          </a:extLst>
        </xdr:cNvPr>
        <xdr:cNvPicPr>
          <a:picLocks noChangeAspect="1"/>
        </xdr:cNvPicPr>
      </xdr:nvPicPr>
      <xdr:blipFill>
        <a:blip xmlns:r="http://schemas.openxmlformats.org/officeDocument/2006/relationships" r:embed="rId9"/>
        <a:stretch>
          <a:fillRect/>
        </a:stretch>
      </xdr:blipFill>
      <xdr:spPr>
        <a:xfrm>
          <a:off x="0" y="170202224"/>
          <a:ext cx="4867275" cy="1514733"/>
        </a:xfrm>
        <a:prstGeom prst="rect">
          <a:avLst/>
        </a:prstGeom>
      </xdr:spPr>
    </xdr:pic>
    <xdr:clientData/>
  </xdr:twoCellAnchor>
  <xdr:twoCellAnchor editAs="oneCell">
    <xdr:from>
      <xdr:col>0</xdr:col>
      <xdr:colOff>266700</xdr:colOff>
      <xdr:row>498</xdr:row>
      <xdr:rowOff>28575</xdr:rowOff>
    </xdr:from>
    <xdr:to>
      <xdr:col>0</xdr:col>
      <xdr:colOff>4867275</xdr:colOff>
      <xdr:row>502</xdr:row>
      <xdr:rowOff>131734</xdr:rowOff>
    </xdr:to>
    <xdr:pic>
      <xdr:nvPicPr>
        <xdr:cNvPr id="53" name="Image 11">
          <a:extLst>
            <a:ext uri="{FF2B5EF4-FFF2-40B4-BE49-F238E27FC236}">
              <a16:creationId xmlns:a16="http://schemas.microsoft.com/office/drawing/2014/main" id="{3232618D-B166-1A21-36B1-AE135532B58D}"/>
            </a:ext>
          </a:extLst>
        </xdr:cNvPr>
        <xdr:cNvPicPr>
          <a:picLocks noChangeAspect="1"/>
        </xdr:cNvPicPr>
      </xdr:nvPicPr>
      <xdr:blipFill>
        <a:blip xmlns:r="http://schemas.openxmlformats.org/officeDocument/2006/relationships" r:embed="rId10"/>
        <a:stretch>
          <a:fillRect/>
        </a:stretch>
      </xdr:blipFill>
      <xdr:spPr>
        <a:xfrm>
          <a:off x="266700" y="171421425"/>
          <a:ext cx="4600575" cy="1055659"/>
        </a:xfrm>
        <a:prstGeom prst="rect">
          <a:avLst/>
        </a:prstGeom>
      </xdr:spPr>
    </xdr:pic>
    <xdr:clientData/>
  </xdr:twoCellAnchor>
  <xdr:twoCellAnchor editAs="oneCell">
    <xdr:from>
      <xdr:col>0</xdr:col>
      <xdr:colOff>5048250</xdr:colOff>
      <xdr:row>490</xdr:row>
      <xdr:rowOff>180975</xdr:rowOff>
    </xdr:from>
    <xdr:to>
      <xdr:col>2</xdr:col>
      <xdr:colOff>2821781</xdr:colOff>
      <xdr:row>502</xdr:row>
      <xdr:rowOff>180975</xdr:rowOff>
    </xdr:to>
    <xdr:pic>
      <xdr:nvPicPr>
        <xdr:cNvPr id="48" name="Image 12">
          <a:extLst>
            <a:ext uri="{FF2B5EF4-FFF2-40B4-BE49-F238E27FC236}">
              <a16:creationId xmlns:a16="http://schemas.microsoft.com/office/drawing/2014/main" id="{D7F364E6-7662-5787-0294-FB740AC0CF1E}"/>
            </a:ext>
          </a:extLst>
        </xdr:cNvPr>
        <xdr:cNvPicPr>
          <a:picLocks noChangeAspect="1"/>
        </xdr:cNvPicPr>
      </xdr:nvPicPr>
      <xdr:blipFill>
        <a:blip xmlns:r="http://schemas.openxmlformats.org/officeDocument/2006/relationships" r:embed="rId11"/>
        <a:stretch>
          <a:fillRect/>
        </a:stretch>
      </xdr:blipFill>
      <xdr:spPr>
        <a:xfrm>
          <a:off x="5048250" y="141734381"/>
          <a:ext cx="5941219" cy="2476500"/>
        </a:xfrm>
        <a:prstGeom prst="rect">
          <a:avLst/>
        </a:prstGeom>
      </xdr:spPr>
    </xdr:pic>
    <xdr:clientData/>
  </xdr:twoCellAnchor>
  <xdr:twoCellAnchor editAs="oneCell">
    <xdr:from>
      <xdr:col>0</xdr:col>
      <xdr:colOff>4906404</xdr:colOff>
      <xdr:row>517</xdr:row>
      <xdr:rowOff>171450</xdr:rowOff>
    </xdr:from>
    <xdr:to>
      <xdr:col>2</xdr:col>
      <xdr:colOff>3191774</xdr:colOff>
      <xdr:row>523</xdr:row>
      <xdr:rowOff>161925</xdr:rowOff>
    </xdr:to>
    <xdr:pic>
      <xdr:nvPicPr>
        <xdr:cNvPr id="10" name="Image 13">
          <a:extLst>
            <a:ext uri="{FF2B5EF4-FFF2-40B4-BE49-F238E27FC236}">
              <a16:creationId xmlns:a16="http://schemas.microsoft.com/office/drawing/2014/main" id="{22DC756E-B854-C796-DE1A-EE1013904F85}"/>
            </a:ext>
          </a:extLst>
        </xdr:cNvPr>
        <xdr:cNvPicPr>
          <a:picLocks noChangeAspect="1"/>
        </xdr:cNvPicPr>
      </xdr:nvPicPr>
      <xdr:blipFill>
        <a:blip xmlns:r="http://schemas.openxmlformats.org/officeDocument/2006/relationships" r:embed="rId12"/>
        <a:stretch>
          <a:fillRect/>
        </a:stretch>
      </xdr:blipFill>
      <xdr:spPr>
        <a:xfrm>
          <a:off x="4906404" y="176517300"/>
          <a:ext cx="5248145" cy="1133475"/>
        </a:xfrm>
        <a:prstGeom prst="rect">
          <a:avLst/>
        </a:prstGeom>
      </xdr:spPr>
    </xdr:pic>
    <xdr:clientData/>
  </xdr:twoCellAnchor>
  <xdr:twoCellAnchor editAs="oneCell">
    <xdr:from>
      <xdr:col>1</xdr:col>
      <xdr:colOff>1038225</xdr:colOff>
      <xdr:row>344</xdr:row>
      <xdr:rowOff>66675</xdr:rowOff>
    </xdr:from>
    <xdr:to>
      <xdr:col>3</xdr:col>
      <xdr:colOff>1791603</xdr:colOff>
      <xdr:row>376</xdr:row>
      <xdr:rowOff>19895</xdr:rowOff>
    </xdr:to>
    <xdr:pic>
      <xdr:nvPicPr>
        <xdr:cNvPr id="4" name="Image 3">
          <a:extLst>
            <a:ext uri="{FF2B5EF4-FFF2-40B4-BE49-F238E27FC236}">
              <a16:creationId xmlns:a16="http://schemas.microsoft.com/office/drawing/2014/main" id="{DFA6397F-0142-4DA4-84D0-4B1D78B5BB04}"/>
            </a:ext>
          </a:extLst>
        </xdr:cNvPr>
        <xdr:cNvPicPr>
          <a:picLocks noChangeAspect="1"/>
        </xdr:cNvPicPr>
      </xdr:nvPicPr>
      <xdr:blipFill>
        <a:blip xmlns:r="http://schemas.openxmlformats.org/officeDocument/2006/relationships" r:embed="rId13"/>
        <a:stretch>
          <a:fillRect/>
        </a:stretch>
      </xdr:blipFill>
      <xdr:spPr>
        <a:xfrm>
          <a:off x="6677025" y="105746550"/>
          <a:ext cx="6468378" cy="6049219"/>
        </a:xfrm>
        <a:prstGeom prst="rect">
          <a:avLst/>
        </a:prstGeom>
      </xdr:spPr>
    </xdr:pic>
    <xdr:clientData/>
  </xdr:twoCellAnchor>
  <xdr:twoCellAnchor editAs="oneCell">
    <xdr:from>
      <xdr:col>0</xdr:col>
      <xdr:colOff>76200</xdr:colOff>
      <xdr:row>255</xdr:row>
      <xdr:rowOff>9525</xdr:rowOff>
    </xdr:from>
    <xdr:to>
      <xdr:col>0</xdr:col>
      <xdr:colOff>5287171</xdr:colOff>
      <xdr:row>260</xdr:row>
      <xdr:rowOff>314325</xdr:rowOff>
    </xdr:to>
    <xdr:pic>
      <xdr:nvPicPr>
        <xdr:cNvPr id="3" name="Image 2">
          <a:extLst>
            <a:ext uri="{FF2B5EF4-FFF2-40B4-BE49-F238E27FC236}">
              <a16:creationId xmlns:a16="http://schemas.microsoft.com/office/drawing/2014/main" id="{D5CA11D1-C970-46F7-AA9E-1E9DACEB8E39}"/>
            </a:ext>
            <a:ext uri="{147F2762-F138-4A5C-976F-8EAC2B608ADB}">
              <a16:predDERef xmlns:a16="http://schemas.microsoft.com/office/drawing/2014/main" pred="{DFA6397F-0142-4DA4-84D0-4B1D78B5BB04}"/>
            </a:ext>
          </a:extLst>
        </xdr:cNvPr>
        <xdr:cNvPicPr>
          <a:picLocks noChangeAspect="1"/>
        </xdr:cNvPicPr>
      </xdr:nvPicPr>
      <xdr:blipFill>
        <a:blip xmlns:r="http://schemas.openxmlformats.org/officeDocument/2006/relationships" r:embed="rId14"/>
        <a:stretch>
          <a:fillRect/>
        </a:stretch>
      </xdr:blipFill>
      <xdr:spPr>
        <a:xfrm>
          <a:off x="76200" y="75485625"/>
          <a:ext cx="5210971" cy="30099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anada.ca/en/environment-climate-change/services/climate-change/greenhouse-gas-emissions/quantification-guidance/global-warming-potentials.html" TargetMode="External"/><Relationship Id="rId2" Type="http://schemas.openxmlformats.org/officeDocument/2006/relationships/hyperlink" Target="https://www.canada.ca/en/environment-climate-change/services/climate-change/greenhouse-gas-emissions/quantification-guidance/global-warming-potentials.html" TargetMode="External"/><Relationship Id="rId1" Type="http://schemas.openxmlformats.org/officeDocument/2006/relationships/hyperlink" Target="https://www.canada.ca/en/environment-climate-change/services/climate-change/greenhouse-gas-emissions/quantification-guidance/global-warming-potentials.html" TargetMode="External"/><Relationship Id="rId6" Type="http://schemas.openxmlformats.org/officeDocument/2006/relationships/printerSettings" Target="../printerSettings/printerSettings6.bin"/><Relationship Id="rId5" Type="http://schemas.openxmlformats.org/officeDocument/2006/relationships/hyperlink" Target="https://ghgprotocol.org/sites/default/files/ghgp/Global-Warming-Potential-Values%20%28Feb%2016%202016%29_1.pdf" TargetMode="External"/><Relationship Id="rId4" Type="http://schemas.openxmlformats.org/officeDocument/2006/relationships/hyperlink" Target="https://ghgprotocol.org/sites/default/files/ghgp/Global-Warming-Potential-Values%20%28Feb%2016%202016%29_1.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mamunicipaliteefficace.ca/91-efficacite-energetique-ges-les-economies-deau-potable.html" TargetMode="External"/><Relationship Id="rId3" Type="http://schemas.openxmlformats.org/officeDocument/2006/relationships/hyperlink" Target="https://publications.gc.ca/site/fra/9.502402/publication.html" TargetMode="External"/><Relationship Id="rId7" Type="http://schemas.openxmlformats.org/officeDocument/2006/relationships/hyperlink" Target="https://www.rollandinc.com/fr/durabilite/analyse-du-cycle-de-vie/" TargetMode="External"/><Relationship Id="rId12" Type="http://schemas.openxmlformats.org/officeDocument/2006/relationships/printerSettings" Target="../printerSettings/printerSettings7.bin"/><Relationship Id="rId2" Type="http://schemas.openxmlformats.org/officeDocument/2006/relationships/hyperlink" Target="https://publications.gc.ca/collections/collection_2022/eccc/En81-4-2020-2-fra.pdf" TargetMode="External"/><Relationship Id="rId1" Type="http://schemas.openxmlformats.org/officeDocument/2006/relationships/hyperlink" Target="https://publications.gc.ca/collections/collection_2022/eccc/En81-4-2020-2-fra.pdf" TargetMode="External"/><Relationship Id="rId6" Type="http://schemas.openxmlformats.org/officeDocument/2006/relationships/hyperlink" Target="https://publications.gc.ca/collections/collection_2022/eccc/En81-4-2020-3-fra.pdf" TargetMode="External"/><Relationship Id="rId11" Type="http://schemas.openxmlformats.org/officeDocument/2006/relationships/hyperlink" Target="https://publications.gc.ca/site/archivee-archived.html?url=https://publications.gc.ca/collections/collection_2021/eccc/En81-4-2019-2-fra.pdf" TargetMode="External"/><Relationship Id="rId5" Type="http://schemas.openxmlformats.org/officeDocument/2006/relationships/hyperlink" Target="https://publications.gc.ca/collections/collection_2022/eccc/En81-4-2020-2-fra.pdf" TargetMode="External"/><Relationship Id="rId10" Type="http://schemas.openxmlformats.org/officeDocument/2006/relationships/hyperlink" Target="https://publications.gc.ca/collections/collection_2022/eccc/En81-4-2020-2-fra.pdf" TargetMode="External"/><Relationship Id="rId4" Type="http://schemas.openxmlformats.org/officeDocument/2006/relationships/hyperlink" Target="https://publications.gc.ca/collections/collection_2022/eccc/En81-4-2020-2-fra.pdf" TargetMode="External"/><Relationship Id="rId9" Type="http://schemas.openxmlformats.org/officeDocument/2006/relationships/hyperlink" Target="https://publications.gc.ca/collections/collection_2022/eccc/En81-4-2020-2-fra.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view.officeapps.live.com/op/view.aspx?src=https%3A%2F%2Foee.rncan.gc.ca%2Forganisme%2Fstatistiques%2Fbnce%2Fapd%2Fdonnees_f%2Ftelechargements%2Fcomplet%2FExcel%2F2020%2Fcom_qc_f_35.xls&amp;wdOrigin=BROWS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7FCD-2BAF-4112-B318-02B403159DB2}">
  <dimension ref="A1:H35"/>
  <sheetViews>
    <sheetView view="pageBreakPreview" topLeftCell="A21" zoomScale="130" zoomScaleNormal="100" zoomScaleSheetLayoutView="130" workbookViewId="0">
      <selection sqref="A1:H31"/>
    </sheetView>
  </sheetViews>
  <sheetFormatPr baseColWidth="10" defaultColWidth="11.453125" defaultRowHeight="14.5" x14ac:dyDescent="0.35"/>
  <sheetData>
    <row r="1" spans="1:8" ht="15" customHeight="1" x14ac:dyDescent="0.35">
      <c r="A1" s="652" t="s">
        <v>852</v>
      </c>
      <c r="B1" s="652"/>
      <c r="C1" s="652"/>
      <c r="D1" s="652"/>
      <c r="E1" s="652"/>
      <c r="F1" s="652"/>
      <c r="G1" s="652"/>
      <c r="H1" s="652"/>
    </row>
    <row r="2" spans="1:8" x14ac:dyDescent="0.35">
      <c r="A2" s="652"/>
      <c r="B2" s="652"/>
      <c r="C2" s="652"/>
      <c r="D2" s="652"/>
      <c r="E2" s="652"/>
      <c r="F2" s="652"/>
      <c r="G2" s="652"/>
      <c r="H2" s="652"/>
    </row>
    <row r="3" spans="1:8" x14ac:dyDescent="0.35">
      <c r="A3" s="652"/>
      <c r="B3" s="652"/>
      <c r="C3" s="652"/>
      <c r="D3" s="652"/>
      <c r="E3" s="652"/>
      <c r="F3" s="652"/>
      <c r="G3" s="652"/>
      <c r="H3" s="652"/>
    </row>
    <row r="4" spans="1:8" x14ac:dyDescent="0.35">
      <c r="A4" s="652"/>
      <c r="B4" s="652"/>
      <c r="C4" s="652"/>
      <c r="D4" s="652"/>
      <c r="E4" s="652"/>
      <c r="F4" s="652"/>
      <c r="G4" s="652"/>
      <c r="H4" s="652"/>
    </row>
    <row r="5" spans="1:8" x14ac:dyDescent="0.35">
      <c r="A5" s="652"/>
      <c r="B5" s="652"/>
      <c r="C5" s="652"/>
      <c r="D5" s="652"/>
      <c r="E5" s="652"/>
      <c r="F5" s="652"/>
      <c r="G5" s="652"/>
      <c r="H5" s="652"/>
    </row>
    <row r="6" spans="1:8" x14ac:dyDescent="0.35">
      <c r="A6" s="652"/>
      <c r="B6" s="652"/>
      <c r="C6" s="652"/>
      <c r="D6" s="652"/>
      <c r="E6" s="652"/>
      <c r="F6" s="652"/>
      <c r="G6" s="652"/>
      <c r="H6" s="652"/>
    </row>
    <row r="7" spans="1:8" x14ac:dyDescent="0.35">
      <c r="A7" s="652"/>
      <c r="B7" s="652"/>
      <c r="C7" s="652"/>
      <c r="D7" s="652"/>
      <c r="E7" s="652"/>
      <c r="F7" s="652"/>
      <c r="G7" s="652"/>
      <c r="H7" s="652"/>
    </row>
    <row r="8" spans="1:8" x14ac:dyDescent="0.35">
      <c r="A8" s="652"/>
      <c r="B8" s="652"/>
      <c r="C8" s="652"/>
      <c r="D8" s="652"/>
      <c r="E8" s="652"/>
      <c r="F8" s="652"/>
      <c r="G8" s="652"/>
      <c r="H8" s="652"/>
    </row>
    <row r="9" spans="1:8" x14ac:dyDescent="0.35">
      <c r="A9" s="652"/>
      <c r="B9" s="652"/>
      <c r="C9" s="652"/>
      <c r="D9" s="652"/>
      <c r="E9" s="652"/>
      <c r="F9" s="652"/>
      <c r="G9" s="652"/>
      <c r="H9" s="652"/>
    </row>
    <row r="10" spans="1:8" x14ac:dyDescent="0.35">
      <c r="A10" s="652"/>
      <c r="B10" s="652"/>
      <c r="C10" s="652"/>
      <c r="D10" s="652"/>
      <c r="E10" s="652"/>
      <c r="F10" s="652"/>
      <c r="G10" s="652"/>
      <c r="H10" s="652"/>
    </row>
    <row r="11" spans="1:8" x14ac:dyDescent="0.35">
      <c r="A11" s="652"/>
      <c r="B11" s="652"/>
      <c r="C11" s="652"/>
      <c r="D11" s="652"/>
      <c r="E11" s="652"/>
      <c r="F11" s="652"/>
      <c r="G11" s="652"/>
      <c r="H11" s="652"/>
    </row>
    <row r="12" spans="1:8" x14ac:dyDescent="0.35">
      <c r="A12" s="652"/>
      <c r="B12" s="652"/>
      <c r="C12" s="652"/>
      <c r="D12" s="652"/>
      <c r="E12" s="652"/>
      <c r="F12" s="652"/>
      <c r="G12" s="652"/>
      <c r="H12" s="652"/>
    </row>
    <row r="13" spans="1:8" x14ac:dyDescent="0.35">
      <c r="A13" s="652"/>
      <c r="B13" s="652"/>
      <c r="C13" s="652"/>
      <c r="D13" s="652"/>
      <c r="E13" s="652"/>
      <c r="F13" s="652"/>
      <c r="G13" s="652"/>
      <c r="H13" s="652"/>
    </row>
    <row r="14" spans="1:8" x14ac:dyDescent="0.35">
      <c r="A14" s="652"/>
      <c r="B14" s="652"/>
      <c r="C14" s="652"/>
      <c r="D14" s="652"/>
      <c r="E14" s="652"/>
      <c r="F14" s="652"/>
      <c r="G14" s="652"/>
      <c r="H14" s="652"/>
    </row>
    <row r="15" spans="1:8" x14ac:dyDescent="0.35">
      <c r="A15" s="652"/>
      <c r="B15" s="652"/>
      <c r="C15" s="652"/>
      <c r="D15" s="652"/>
      <c r="E15" s="652"/>
      <c r="F15" s="652"/>
      <c r="G15" s="652"/>
      <c r="H15" s="652"/>
    </row>
    <row r="16" spans="1:8" x14ac:dyDescent="0.35">
      <c r="A16" s="652"/>
      <c r="B16" s="652"/>
      <c r="C16" s="652"/>
      <c r="D16" s="652"/>
      <c r="E16" s="652"/>
      <c r="F16" s="652"/>
      <c r="G16" s="652"/>
      <c r="H16" s="652"/>
    </row>
    <row r="17" spans="1:8" x14ac:dyDescent="0.35">
      <c r="A17" s="652"/>
      <c r="B17" s="652"/>
      <c r="C17" s="652"/>
      <c r="D17" s="652"/>
      <c r="E17" s="652"/>
      <c r="F17" s="652"/>
      <c r="G17" s="652"/>
      <c r="H17" s="652"/>
    </row>
    <row r="18" spans="1:8" x14ac:dyDescent="0.35">
      <c r="A18" s="652"/>
      <c r="B18" s="652"/>
      <c r="C18" s="652"/>
      <c r="D18" s="652"/>
      <c r="E18" s="652"/>
      <c r="F18" s="652"/>
      <c r="G18" s="652"/>
      <c r="H18" s="652"/>
    </row>
    <row r="19" spans="1:8" x14ac:dyDescent="0.35">
      <c r="A19" s="652"/>
      <c r="B19" s="652"/>
      <c r="C19" s="652"/>
      <c r="D19" s="652"/>
      <c r="E19" s="652"/>
      <c r="F19" s="652"/>
      <c r="G19" s="652"/>
      <c r="H19" s="652"/>
    </row>
    <row r="20" spans="1:8" x14ac:dyDescent="0.35">
      <c r="A20" s="652"/>
      <c r="B20" s="652"/>
      <c r="C20" s="652"/>
      <c r="D20" s="652"/>
      <c r="E20" s="652"/>
      <c r="F20" s="652"/>
      <c r="G20" s="652"/>
      <c r="H20" s="652"/>
    </row>
    <row r="21" spans="1:8" x14ac:dyDescent="0.35">
      <c r="A21" s="652"/>
      <c r="B21" s="652"/>
      <c r="C21" s="652"/>
      <c r="D21" s="652"/>
      <c r="E21" s="652"/>
      <c r="F21" s="652"/>
      <c r="G21" s="652"/>
      <c r="H21" s="652"/>
    </row>
    <row r="22" spans="1:8" x14ac:dyDescent="0.35">
      <c r="A22" s="652"/>
      <c r="B22" s="652"/>
      <c r="C22" s="652"/>
      <c r="D22" s="652"/>
      <c r="E22" s="652"/>
      <c r="F22" s="652"/>
      <c r="G22" s="652"/>
      <c r="H22" s="652"/>
    </row>
    <row r="23" spans="1:8" x14ac:dyDescent="0.35">
      <c r="A23" s="652"/>
      <c r="B23" s="652"/>
      <c r="C23" s="652"/>
      <c r="D23" s="652"/>
      <c r="E23" s="652"/>
      <c r="F23" s="652"/>
      <c r="G23" s="652"/>
      <c r="H23" s="652"/>
    </row>
    <row r="24" spans="1:8" x14ac:dyDescent="0.35">
      <c r="A24" s="652"/>
      <c r="B24" s="652"/>
      <c r="C24" s="652"/>
      <c r="D24" s="652"/>
      <c r="E24" s="652"/>
      <c r="F24" s="652"/>
      <c r="G24" s="652"/>
      <c r="H24" s="652"/>
    </row>
    <row r="25" spans="1:8" x14ac:dyDescent="0.35">
      <c r="A25" s="652"/>
      <c r="B25" s="652"/>
      <c r="C25" s="652"/>
      <c r="D25" s="652"/>
      <c r="E25" s="652"/>
      <c r="F25" s="652"/>
      <c r="G25" s="652"/>
      <c r="H25" s="652"/>
    </row>
    <row r="26" spans="1:8" x14ac:dyDescent="0.35">
      <c r="A26" s="652"/>
      <c r="B26" s="652"/>
      <c r="C26" s="652"/>
      <c r="D26" s="652"/>
      <c r="E26" s="652"/>
      <c r="F26" s="652"/>
      <c r="G26" s="652"/>
      <c r="H26" s="652"/>
    </row>
    <row r="27" spans="1:8" x14ac:dyDescent="0.35">
      <c r="A27" s="652"/>
      <c r="B27" s="652"/>
      <c r="C27" s="652"/>
      <c r="D27" s="652"/>
      <c r="E27" s="652"/>
      <c r="F27" s="652"/>
      <c r="G27" s="652"/>
      <c r="H27" s="652"/>
    </row>
    <row r="28" spans="1:8" ht="30.75" customHeight="1" x14ac:dyDescent="0.35">
      <c r="A28" s="652"/>
      <c r="B28" s="652"/>
      <c r="C28" s="652"/>
      <c r="D28" s="652"/>
      <c r="E28" s="652"/>
      <c r="F28" s="652"/>
      <c r="G28" s="652"/>
      <c r="H28" s="652"/>
    </row>
    <row r="29" spans="1:8" x14ac:dyDescent="0.35">
      <c r="A29" s="652"/>
      <c r="B29" s="652"/>
      <c r="C29" s="652"/>
      <c r="D29" s="652"/>
      <c r="E29" s="652"/>
      <c r="F29" s="652"/>
      <c r="G29" s="652"/>
      <c r="H29" s="652"/>
    </row>
    <row r="30" spans="1:8" x14ac:dyDescent="0.35">
      <c r="A30" s="652"/>
      <c r="B30" s="652"/>
      <c r="C30" s="652"/>
      <c r="D30" s="652"/>
      <c r="E30" s="652"/>
      <c r="F30" s="652"/>
      <c r="G30" s="652"/>
      <c r="H30" s="652"/>
    </row>
    <row r="31" spans="1:8" x14ac:dyDescent="0.35">
      <c r="A31" s="652"/>
      <c r="B31" s="652"/>
      <c r="C31" s="652"/>
      <c r="D31" s="652"/>
      <c r="E31" s="652"/>
      <c r="F31" s="652"/>
      <c r="G31" s="652"/>
      <c r="H31" s="652"/>
    </row>
    <row r="32" spans="1:8" x14ac:dyDescent="0.35">
      <c r="A32" s="652" t="s">
        <v>0</v>
      </c>
      <c r="B32" s="652"/>
      <c r="C32" s="652"/>
      <c r="D32" s="652"/>
      <c r="E32" s="652"/>
      <c r="F32" s="652"/>
      <c r="G32" s="652"/>
      <c r="H32" s="652"/>
    </row>
    <row r="33" spans="1:8" x14ac:dyDescent="0.35">
      <c r="A33" s="652"/>
      <c r="B33" s="652"/>
      <c r="C33" s="652"/>
      <c r="D33" s="652"/>
      <c r="E33" s="652"/>
      <c r="F33" s="652"/>
      <c r="G33" s="652"/>
      <c r="H33" s="652"/>
    </row>
    <row r="34" spans="1:8" x14ac:dyDescent="0.35">
      <c r="A34" s="652"/>
      <c r="B34" s="652"/>
      <c r="C34" s="652"/>
      <c r="D34" s="652"/>
      <c r="E34" s="652"/>
      <c r="F34" s="652"/>
      <c r="G34" s="652"/>
      <c r="H34" s="652"/>
    </row>
    <row r="35" spans="1:8" x14ac:dyDescent="0.35">
      <c r="A35" s="652"/>
      <c r="B35" s="652"/>
      <c r="C35" s="652"/>
      <c r="D35" s="652"/>
      <c r="E35" s="652"/>
      <c r="F35" s="652"/>
      <c r="G35" s="652"/>
      <c r="H35" s="652"/>
    </row>
  </sheetData>
  <sheetProtection formatCells="0" formatColumns="0" formatRows="0" insertColumns="0" insertRows="0" insertHyperlinks="0" deleteColumns="0" deleteRows="0" sort="0" autoFilter="0" pivotTables="0"/>
  <mergeCells count="2">
    <mergeCell ref="A1:H31"/>
    <mergeCell ref="A32:H35"/>
  </mergeCells>
  <pageMargins left="0.7" right="0.7" top="0.75" bottom="0.75" header="0.3" footer="0.3"/>
  <pageSetup scale="98"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D5D90-8A12-4542-B6ED-A662537FD597}">
  <dimension ref="A1:T272"/>
  <sheetViews>
    <sheetView topLeftCell="B192" zoomScale="71" workbookViewId="0">
      <selection activeCell="M118" sqref="M118"/>
    </sheetView>
  </sheetViews>
  <sheetFormatPr baseColWidth="10" defaultColWidth="11.453125" defaultRowHeight="14.5" x14ac:dyDescent="0.35"/>
  <cols>
    <col min="1" max="1" width="48.26953125" style="1" customWidth="1"/>
    <col min="2" max="2" width="29.1796875" style="2" customWidth="1"/>
    <col min="3" max="3" width="18.54296875" style="9" bestFit="1" customWidth="1"/>
    <col min="4" max="14" width="11.453125" style="9"/>
    <col min="15" max="15" width="21.453125" style="9" customWidth="1"/>
    <col min="16" max="16" width="28.453125" style="9" customWidth="1"/>
    <col min="17" max="17" width="41" style="1" customWidth="1"/>
    <col min="18" max="18" width="42.81640625" style="9" customWidth="1"/>
  </cols>
  <sheetData>
    <row r="1" spans="1:18" ht="24" thickBot="1" x14ac:dyDescent="0.6">
      <c r="A1" s="793" t="s">
        <v>785</v>
      </c>
      <c r="B1" s="793"/>
      <c r="C1" s="793"/>
      <c r="D1" s="793"/>
      <c r="E1" s="793"/>
      <c r="F1" s="793"/>
      <c r="G1" s="793"/>
      <c r="H1" s="793"/>
      <c r="I1" s="793"/>
      <c r="J1" s="793"/>
      <c r="K1" s="793"/>
      <c r="L1" s="793"/>
      <c r="M1" s="793"/>
      <c r="N1" s="793"/>
      <c r="O1" s="793"/>
      <c r="P1" s="793"/>
      <c r="R1" s="5"/>
    </row>
    <row r="2" spans="1:18" x14ac:dyDescent="0.35">
      <c r="A2" s="779" t="s">
        <v>57</v>
      </c>
      <c r="B2" s="780"/>
      <c r="C2" s="780"/>
      <c r="D2" s="780"/>
      <c r="E2" s="780"/>
      <c r="F2" s="780"/>
      <c r="G2" s="780"/>
      <c r="H2" s="780"/>
      <c r="I2" s="780"/>
      <c r="J2" s="780"/>
      <c r="K2" s="780"/>
      <c r="L2" s="780"/>
      <c r="M2" s="780"/>
      <c r="N2" s="780"/>
      <c r="O2" s="780"/>
      <c r="P2" s="158"/>
      <c r="Q2" s="225"/>
      <c r="R2" s="133"/>
    </row>
    <row r="3" spans="1:18" ht="15" thickBot="1" x14ac:dyDescent="0.4">
      <c r="A3" s="78" t="s">
        <v>786</v>
      </c>
      <c r="B3" s="59" t="s">
        <v>787</v>
      </c>
      <c r="C3" s="146" t="s">
        <v>788</v>
      </c>
      <c r="D3" s="131">
        <v>44562</v>
      </c>
      <c r="E3" s="131">
        <v>44593</v>
      </c>
      <c r="F3" s="131">
        <v>44621</v>
      </c>
      <c r="G3" s="131">
        <v>44652</v>
      </c>
      <c r="H3" s="131">
        <v>44682</v>
      </c>
      <c r="I3" s="131">
        <v>44713</v>
      </c>
      <c r="J3" s="131">
        <v>44743</v>
      </c>
      <c r="K3" s="131">
        <v>44774</v>
      </c>
      <c r="L3" s="131">
        <v>44805</v>
      </c>
      <c r="M3" s="131">
        <v>44835</v>
      </c>
      <c r="N3" s="131">
        <v>44866</v>
      </c>
      <c r="O3" s="131">
        <v>44896</v>
      </c>
      <c r="P3" s="159" t="s">
        <v>550</v>
      </c>
      <c r="Q3" s="228" t="s">
        <v>789</v>
      </c>
      <c r="R3" s="236" t="s">
        <v>790</v>
      </c>
    </row>
    <row r="4" spans="1:18" ht="18" customHeight="1" thickBot="1" x14ac:dyDescent="0.4">
      <c r="A4" s="784" t="s">
        <v>106</v>
      </c>
      <c r="B4" s="61" t="s">
        <v>791</v>
      </c>
      <c r="C4" s="147" t="s">
        <v>792</v>
      </c>
      <c r="D4" s="807"/>
      <c r="E4" s="807"/>
      <c r="F4" s="807"/>
      <c r="G4" s="807"/>
      <c r="H4" s="807"/>
      <c r="I4" s="807"/>
      <c r="J4" s="807"/>
      <c r="K4" s="807"/>
      <c r="L4" s="807"/>
      <c r="M4" s="807"/>
      <c r="N4" s="807"/>
      <c r="O4" s="807"/>
      <c r="P4" s="160">
        <f>SUM(D4:O4)</f>
        <v>0</v>
      </c>
      <c r="Q4" s="806"/>
      <c r="R4" s="806"/>
    </row>
    <row r="5" spans="1:18" ht="15" thickBot="1" x14ac:dyDescent="0.4">
      <c r="A5" s="783"/>
      <c r="B5" s="62" t="s">
        <v>793</v>
      </c>
      <c r="C5" s="91" t="s">
        <v>554</v>
      </c>
      <c r="D5" s="804"/>
      <c r="E5" s="804"/>
      <c r="F5" s="804"/>
      <c r="G5" s="804"/>
      <c r="H5" s="804"/>
      <c r="I5" s="804"/>
      <c r="J5" s="804"/>
      <c r="K5" s="804"/>
      <c r="L5" s="804"/>
      <c r="M5" s="804"/>
      <c r="N5" s="804"/>
      <c r="O5" s="804"/>
      <c r="P5" s="160">
        <f t="shared" ref="P5:P68" si="0">SUM(D5:O5)</f>
        <v>0</v>
      </c>
      <c r="Q5" s="806"/>
      <c r="R5" s="806"/>
    </row>
    <row r="6" spans="1:18" ht="15" thickBot="1" x14ac:dyDescent="0.4">
      <c r="A6" s="783"/>
      <c r="B6" s="62" t="s">
        <v>16</v>
      </c>
      <c r="C6" s="91" t="s">
        <v>554</v>
      </c>
      <c r="D6" s="804"/>
      <c r="E6" s="804"/>
      <c r="F6" s="804"/>
      <c r="G6" s="804"/>
      <c r="H6" s="804"/>
      <c r="I6" s="804"/>
      <c r="J6" s="804"/>
      <c r="K6" s="804"/>
      <c r="L6" s="804"/>
      <c r="M6" s="804"/>
      <c r="N6" s="804"/>
      <c r="O6" s="804"/>
      <c r="P6" s="160">
        <f t="shared" si="0"/>
        <v>0</v>
      </c>
      <c r="Q6" s="806"/>
      <c r="R6" s="806"/>
    </row>
    <row r="7" spans="1:18" ht="86.25" customHeight="1" thickBot="1" x14ac:dyDescent="0.4">
      <c r="A7" s="783"/>
      <c r="B7" s="62" t="s">
        <v>444</v>
      </c>
      <c r="C7" s="91" t="s">
        <v>554</v>
      </c>
      <c r="D7" s="804"/>
      <c r="E7" s="804"/>
      <c r="F7" s="804"/>
      <c r="G7" s="804"/>
      <c r="H7" s="804"/>
      <c r="I7" s="804"/>
      <c r="J7" s="804"/>
      <c r="K7" s="804"/>
      <c r="L7" s="804"/>
      <c r="M7" s="804"/>
      <c r="N7" s="804"/>
      <c r="O7" s="804"/>
      <c r="P7" s="160">
        <f t="shared" si="0"/>
        <v>0</v>
      </c>
      <c r="Q7" s="806"/>
      <c r="R7" s="806"/>
    </row>
    <row r="8" spans="1:18" ht="15" thickBot="1" x14ac:dyDescent="0.4">
      <c r="A8" s="783"/>
      <c r="B8" s="232" t="s">
        <v>794</v>
      </c>
      <c r="C8" s="213" t="s">
        <v>613</v>
      </c>
      <c r="D8" s="812"/>
      <c r="E8" s="812"/>
      <c r="F8" s="812"/>
      <c r="G8" s="812"/>
      <c r="H8" s="812"/>
      <c r="I8" s="812"/>
      <c r="J8" s="812"/>
      <c r="K8" s="812"/>
      <c r="L8" s="812"/>
      <c r="M8" s="812"/>
      <c r="N8" s="812"/>
      <c r="O8" s="812"/>
      <c r="P8" s="216">
        <f t="shared" si="0"/>
        <v>0</v>
      </c>
      <c r="Q8" s="806"/>
      <c r="R8" s="806"/>
    </row>
    <row r="9" spans="1:18" ht="18" customHeight="1" thickBot="1" x14ac:dyDescent="0.4">
      <c r="A9" s="784" t="s">
        <v>795</v>
      </c>
      <c r="B9" s="61" t="s">
        <v>791</v>
      </c>
      <c r="C9" s="147" t="s">
        <v>792</v>
      </c>
      <c r="D9" s="807"/>
      <c r="E9" s="807"/>
      <c r="F9" s="807"/>
      <c r="G9" s="807"/>
      <c r="H9" s="807"/>
      <c r="I9" s="807"/>
      <c r="J9" s="807"/>
      <c r="K9" s="807"/>
      <c r="L9" s="807"/>
      <c r="M9" s="807"/>
      <c r="N9" s="807"/>
      <c r="O9" s="807"/>
      <c r="P9" s="160">
        <f t="shared" si="0"/>
        <v>0</v>
      </c>
      <c r="Q9" s="806"/>
      <c r="R9" s="806"/>
    </row>
    <row r="10" spans="1:18" ht="15" thickBot="1" x14ac:dyDescent="0.4">
      <c r="A10" s="783"/>
      <c r="B10" s="62" t="s">
        <v>793</v>
      </c>
      <c r="C10" s="91" t="s">
        <v>554</v>
      </c>
      <c r="D10" s="804"/>
      <c r="E10" s="804"/>
      <c r="F10" s="804"/>
      <c r="G10" s="804"/>
      <c r="H10" s="804"/>
      <c r="I10" s="804"/>
      <c r="J10" s="804"/>
      <c r="K10" s="804"/>
      <c r="L10" s="804"/>
      <c r="M10" s="804"/>
      <c r="N10" s="804"/>
      <c r="O10" s="804"/>
      <c r="P10" s="160">
        <f t="shared" si="0"/>
        <v>0</v>
      </c>
      <c r="Q10" s="806"/>
      <c r="R10" s="806"/>
    </row>
    <row r="11" spans="1:18" ht="15" thickBot="1" x14ac:dyDescent="0.4">
      <c r="A11" s="783"/>
      <c r="B11" s="62" t="s">
        <v>16</v>
      </c>
      <c r="C11" s="91" t="s">
        <v>554</v>
      </c>
      <c r="D11" s="804"/>
      <c r="E11" s="804"/>
      <c r="F11" s="804"/>
      <c r="G11" s="804"/>
      <c r="H11" s="804"/>
      <c r="I11" s="804"/>
      <c r="J11" s="804"/>
      <c r="K11" s="804"/>
      <c r="L11" s="804"/>
      <c r="M11" s="804"/>
      <c r="N11" s="804"/>
      <c r="O11" s="804"/>
      <c r="P11" s="160">
        <f t="shared" si="0"/>
        <v>0</v>
      </c>
      <c r="Q11" s="806"/>
      <c r="R11" s="806"/>
    </row>
    <row r="12" spans="1:18" ht="15" thickBot="1" x14ac:dyDescent="0.4">
      <c r="A12" s="783"/>
      <c r="B12" s="62" t="s">
        <v>444</v>
      </c>
      <c r="C12" s="91" t="s">
        <v>554</v>
      </c>
      <c r="D12" s="804"/>
      <c r="E12" s="804"/>
      <c r="F12" s="804"/>
      <c r="G12" s="804"/>
      <c r="H12" s="804"/>
      <c r="I12" s="804"/>
      <c r="J12" s="804"/>
      <c r="K12" s="804"/>
      <c r="L12" s="804"/>
      <c r="M12" s="804"/>
      <c r="N12" s="804"/>
      <c r="O12" s="804"/>
      <c r="P12" s="160">
        <f t="shared" si="0"/>
        <v>0</v>
      </c>
      <c r="Q12" s="806"/>
      <c r="R12" s="806"/>
    </row>
    <row r="13" spans="1:18" ht="15" thickBot="1" x14ac:dyDescent="0.4">
      <c r="A13" s="785"/>
      <c r="B13" s="63" t="s">
        <v>796</v>
      </c>
      <c r="C13" s="148" t="s">
        <v>613</v>
      </c>
      <c r="D13" s="809"/>
      <c r="E13" s="809"/>
      <c r="F13" s="809"/>
      <c r="G13" s="809"/>
      <c r="H13" s="809"/>
      <c r="I13" s="809"/>
      <c r="J13" s="809"/>
      <c r="K13" s="809"/>
      <c r="L13" s="809"/>
      <c r="M13" s="809"/>
      <c r="N13" s="809"/>
      <c r="O13" s="809"/>
      <c r="P13" s="231">
        <f t="shared" si="0"/>
        <v>0</v>
      </c>
      <c r="Q13" s="806"/>
      <c r="R13" s="806"/>
    </row>
    <row r="14" spans="1:18" ht="18" customHeight="1" thickBot="1" x14ac:dyDescent="0.4">
      <c r="A14" s="783" t="s">
        <v>131</v>
      </c>
      <c r="B14" s="229" t="s">
        <v>791</v>
      </c>
      <c r="C14" s="214" t="s">
        <v>792</v>
      </c>
      <c r="D14" s="813"/>
      <c r="E14" s="813"/>
      <c r="F14" s="813"/>
      <c r="G14" s="813"/>
      <c r="H14" s="813"/>
      <c r="I14" s="813"/>
      <c r="J14" s="813"/>
      <c r="K14" s="813"/>
      <c r="L14" s="813"/>
      <c r="M14" s="813"/>
      <c r="N14" s="813"/>
      <c r="O14" s="813"/>
      <c r="P14" s="230">
        <f t="shared" si="0"/>
        <v>0</v>
      </c>
      <c r="Q14" s="806"/>
      <c r="R14" s="806"/>
    </row>
    <row r="15" spans="1:18" ht="15" thickBot="1" x14ac:dyDescent="0.4">
      <c r="A15" s="783"/>
      <c r="B15" s="62" t="s">
        <v>793</v>
      </c>
      <c r="C15" s="91" t="s">
        <v>554</v>
      </c>
      <c r="D15" s="804"/>
      <c r="E15" s="804"/>
      <c r="F15" s="804"/>
      <c r="G15" s="804"/>
      <c r="H15" s="804"/>
      <c r="I15" s="804"/>
      <c r="J15" s="804"/>
      <c r="K15" s="804"/>
      <c r="L15" s="804"/>
      <c r="M15" s="804"/>
      <c r="N15" s="804"/>
      <c r="O15" s="804"/>
      <c r="P15" s="160">
        <f t="shared" si="0"/>
        <v>0</v>
      </c>
      <c r="Q15" s="806"/>
      <c r="R15" s="806"/>
    </row>
    <row r="16" spans="1:18" ht="15" thickBot="1" x14ac:dyDescent="0.4">
      <c r="A16" s="783"/>
      <c r="B16" s="62" t="s">
        <v>16</v>
      </c>
      <c r="C16" s="91" t="s">
        <v>554</v>
      </c>
      <c r="D16" s="804"/>
      <c r="E16" s="804"/>
      <c r="F16" s="804"/>
      <c r="G16" s="804"/>
      <c r="H16" s="804"/>
      <c r="I16" s="804"/>
      <c r="J16" s="804"/>
      <c r="K16" s="804"/>
      <c r="L16" s="804"/>
      <c r="M16" s="804"/>
      <c r="N16" s="804"/>
      <c r="O16" s="804"/>
      <c r="P16" s="160">
        <f t="shared" si="0"/>
        <v>0</v>
      </c>
      <c r="Q16" s="806"/>
      <c r="R16" s="806"/>
    </row>
    <row r="17" spans="1:18" ht="15" thickBot="1" x14ac:dyDescent="0.4">
      <c r="A17" s="783"/>
      <c r="B17" s="62" t="s">
        <v>444</v>
      </c>
      <c r="C17" s="91" t="s">
        <v>554</v>
      </c>
      <c r="D17" s="804"/>
      <c r="E17" s="804"/>
      <c r="F17" s="804"/>
      <c r="G17" s="804"/>
      <c r="H17" s="804"/>
      <c r="I17" s="804"/>
      <c r="J17" s="804"/>
      <c r="K17" s="804"/>
      <c r="L17" s="804"/>
      <c r="M17" s="804"/>
      <c r="N17" s="804"/>
      <c r="O17" s="804"/>
      <c r="P17" s="160">
        <f t="shared" si="0"/>
        <v>0</v>
      </c>
      <c r="Q17" s="806"/>
      <c r="R17" s="806"/>
    </row>
    <row r="18" spans="1:18" ht="15" thickBot="1" x14ac:dyDescent="0.4">
      <c r="A18" s="785"/>
      <c r="B18" s="63" t="s">
        <v>796</v>
      </c>
      <c r="C18" s="148" t="s">
        <v>613</v>
      </c>
      <c r="D18" s="809"/>
      <c r="E18" s="809"/>
      <c r="F18" s="809"/>
      <c r="G18" s="809"/>
      <c r="H18" s="809"/>
      <c r="I18" s="809"/>
      <c r="J18" s="809"/>
      <c r="K18" s="809"/>
      <c r="L18" s="809"/>
      <c r="M18" s="809"/>
      <c r="N18" s="809"/>
      <c r="O18" s="809"/>
      <c r="P18" s="231">
        <f t="shared" si="0"/>
        <v>0</v>
      </c>
      <c r="Q18" s="806"/>
      <c r="R18" s="806"/>
    </row>
    <row r="19" spans="1:18" ht="18" customHeight="1" thickBot="1" x14ac:dyDescent="0.4">
      <c r="A19" s="784" t="s">
        <v>133</v>
      </c>
      <c r="B19" s="61" t="s">
        <v>791</v>
      </c>
      <c r="C19" s="147" t="s">
        <v>792</v>
      </c>
      <c r="D19" s="807"/>
      <c r="E19" s="807"/>
      <c r="F19" s="807"/>
      <c r="G19" s="807"/>
      <c r="H19" s="807"/>
      <c r="I19" s="807"/>
      <c r="J19" s="807"/>
      <c r="K19" s="807"/>
      <c r="L19" s="807"/>
      <c r="M19" s="807"/>
      <c r="N19" s="807"/>
      <c r="O19" s="807"/>
      <c r="P19" s="160">
        <f t="shared" si="0"/>
        <v>0</v>
      </c>
      <c r="Q19" s="806"/>
      <c r="R19" s="806"/>
    </row>
    <row r="20" spans="1:18" ht="15" thickBot="1" x14ac:dyDescent="0.4">
      <c r="A20" s="783"/>
      <c r="B20" s="62" t="s">
        <v>793</v>
      </c>
      <c r="C20" s="91" t="s">
        <v>554</v>
      </c>
      <c r="D20" s="804"/>
      <c r="E20" s="804"/>
      <c r="F20" s="804"/>
      <c r="G20" s="804"/>
      <c r="H20" s="804"/>
      <c r="I20" s="804"/>
      <c r="J20" s="804"/>
      <c r="K20" s="804"/>
      <c r="L20" s="804"/>
      <c r="M20" s="804"/>
      <c r="N20" s="804"/>
      <c r="O20" s="804"/>
      <c r="P20" s="160">
        <f t="shared" si="0"/>
        <v>0</v>
      </c>
      <c r="Q20" s="806"/>
      <c r="R20" s="806"/>
    </row>
    <row r="21" spans="1:18" ht="15" thickBot="1" x14ac:dyDescent="0.4">
      <c r="A21" s="783"/>
      <c r="B21" s="62" t="s">
        <v>16</v>
      </c>
      <c r="C21" s="91" t="s">
        <v>554</v>
      </c>
      <c r="D21" s="804"/>
      <c r="E21" s="804"/>
      <c r="F21" s="804"/>
      <c r="G21" s="804"/>
      <c r="H21" s="804"/>
      <c r="I21" s="804"/>
      <c r="J21" s="804"/>
      <c r="K21" s="804"/>
      <c r="L21" s="804"/>
      <c r="M21" s="804"/>
      <c r="N21" s="804"/>
      <c r="O21" s="804"/>
      <c r="P21" s="160">
        <f t="shared" si="0"/>
        <v>0</v>
      </c>
      <c r="Q21" s="806"/>
      <c r="R21" s="806"/>
    </row>
    <row r="22" spans="1:18" ht="15" thickBot="1" x14ac:dyDescent="0.4">
      <c r="A22" s="783"/>
      <c r="B22" s="62" t="s">
        <v>444</v>
      </c>
      <c r="C22" s="91" t="s">
        <v>554</v>
      </c>
      <c r="D22" s="804"/>
      <c r="E22" s="804"/>
      <c r="F22" s="804"/>
      <c r="G22" s="804"/>
      <c r="H22" s="804"/>
      <c r="I22" s="804"/>
      <c r="J22" s="804"/>
      <c r="K22" s="804"/>
      <c r="L22" s="804"/>
      <c r="M22" s="804"/>
      <c r="N22" s="804"/>
      <c r="O22" s="804"/>
      <c r="P22" s="160">
        <f t="shared" si="0"/>
        <v>0</v>
      </c>
      <c r="Q22" s="806"/>
      <c r="R22" s="806"/>
    </row>
    <row r="23" spans="1:18" ht="15" thickBot="1" x14ac:dyDescent="0.4">
      <c r="A23" s="785"/>
      <c r="B23" s="63" t="s">
        <v>796</v>
      </c>
      <c r="C23" s="148" t="s">
        <v>613</v>
      </c>
      <c r="D23" s="809"/>
      <c r="E23" s="809"/>
      <c r="F23" s="809"/>
      <c r="G23" s="809"/>
      <c r="H23" s="809"/>
      <c r="I23" s="809"/>
      <c r="J23" s="809"/>
      <c r="K23" s="809"/>
      <c r="L23" s="809"/>
      <c r="M23" s="809"/>
      <c r="N23" s="809"/>
      <c r="O23" s="809"/>
      <c r="P23" s="231">
        <f t="shared" si="0"/>
        <v>0</v>
      </c>
      <c r="Q23" s="806"/>
      <c r="R23" s="806"/>
    </row>
    <row r="24" spans="1:18" ht="18" customHeight="1" thickBot="1" x14ac:dyDescent="0.4">
      <c r="A24" s="784" t="s">
        <v>135</v>
      </c>
      <c r="B24" s="61" t="s">
        <v>791</v>
      </c>
      <c r="C24" s="147" t="s">
        <v>792</v>
      </c>
      <c r="D24" s="807"/>
      <c r="E24" s="807"/>
      <c r="F24" s="807"/>
      <c r="G24" s="807"/>
      <c r="H24" s="807"/>
      <c r="I24" s="807"/>
      <c r="J24" s="807"/>
      <c r="K24" s="807"/>
      <c r="L24" s="807"/>
      <c r="M24" s="807"/>
      <c r="N24" s="807"/>
      <c r="O24" s="807"/>
      <c r="P24" s="160">
        <f t="shared" si="0"/>
        <v>0</v>
      </c>
      <c r="Q24" s="806"/>
      <c r="R24" s="806"/>
    </row>
    <row r="25" spans="1:18" ht="15" thickBot="1" x14ac:dyDescent="0.4">
      <c r="A25" s="783"/>
      <c r="B25" s="62" t="s">
        <v>793</v>
      </c>
      <c r="C25" s="91" t="s">
        <v>554</v>
      </c>
      <c r="D25" s="804"/>
      <c r="E25" s="804"/>
      <c r="F25" s="804"/>
      <c r="G25" s="804"/>
      <c r="H25" s="804"/>
      <c r="I25" s="804"/>
      <c r="J25" s="804"/>
      <c r="K25" s="804"/>
      <c r="L25" s="804"/>
      <c r="M25" s="804"/>
      <c r="N25" s="804"/>
      <c r="O25" s="804"/>
      <c r="P25" s="160">
        <f t="shared" si="0"/>
        <v>0</v>
      </c>
      <c r="Q25" s="806"/>
      <c r="R25" s="806"/>
    </row>
    <row r="26" spans="1:18" ht="15" thickBot="1" x14ac:dyDescent="0.4">
      <c r="A26" s="783"/>
      <c r="B26" s="62" t="s">
        <v>16</v>
      </c>
      <c r="C26" s="91" t="s">
        <v>554</v>
      </c>
      <c r="D26" s="804"/>
      <c r="E26" s="804"/>
      <c r="F26" s="804"/>
      <c r="G26" s="804"/>
      <c r="H26" s="804"/>
      <c r="I26" s="804"/>
      <c r="J26" s="804"/>
      <c r="K26" s="804"/>
      <c r="L26" s="804"/>
      <c r="M26" s="804"/>
      <c r="N26" s="804"/>
      <c r="O26" s="804"/>
      <c r="P26" s="160">
        <f t="shared" si="0"/>
        <v>0</v>
      </c>
      <c r="Q26" s="806"/>
      <c r="R26" s="806"/>
    </row>
    <row r="27" spans="1:18" ht="15" thickBot="1" x14ac:dyDescent="0.4">
      <c r="A27" s="783"/>
      <c r="B27" s="62" t="s">
        <v>444</v>
      </c>
      <c r="C27" s="91" t="s">
        <v>554</v>
      </c>
      <c r="D27" s="804"/>
      <c r="E27" s="804"/>
      <c r="F27" s="804"/>
      <c r="G27" s="804"/>
      <c r="H27" s="804"/>
      <c r="I27" s="804"/>
      <c r="J27" s="804"/>
      <c r="K27" s="804"/>
      <c r="L27" s="804"/>
      <c r="M27" s="804"/>
      <c r="N27" s="804"/>
      <c r="O27" s="804"/>
      <c r="P27" s="160">
        <f t="shared" si="0"/>
        <v>0</v>
      </c>
      <c r="Q27" s="806"/>
      <c r="R27" s="806"/>
    </row>
    <row r="28" spans="1:18" ht="15" thickBot="1" x14ac:dyDescent="0.4">
      <c r="A28" s="785"/>
      <c r="B28" s="63" t="s">
        <v>796</v>
      </c>
      <c r="C28" s="148" t="s">
        <v>613</v>
      </c>
      <c r="D28" s="809"/>
      <c r="E28" s="809"/>
      <c r="F28" s="809"/>
      <c r="G28" s="809"/>
      <c r="H28" s="809"/>
      <c r="I28" s="809"/>
      <c r="J28" s="809"/>
      <c r="K28" s="809"/>
      <c r="L28" s="809"/>
      <c r="M28" s="809"/>
      <c r="N28" s="809"/>
      <c r="O28" s="809"/>
      <c r="P28" s="231">
        <f t="shared" si="0"/>
        <v>0</v>
      </c>
      <c r="Q28" s="806"/>
      <c r="R28" s="806"/>
    </row>
    <row r="29" spans="1:18" ht="18" customHeight="1" thickBot="1" x14ac:dyDescent="0.4">
      <c r="A29" s="784" t="s">
        <v>136</v>
      </c>
      <c r="B29" s="61" t="s">
        <v>791</v>
      </c>
      <c r="C29" s="147" t="s">
        <v>792</v>
      </c>
      <c r="D29" s="807"/>
      <c r="E29" s="807"/>
      <c r="F29" s="807"/>
      <c r="G29" s="807"/>
      <c r="H29" s="807"/>
      <c r="I29" s="807"/>
      <c r="J29" s="807"/>
      <c r="K29" s="807"/>
      <c r="L29" s="807"/>
      <c r="M29" s="807"/>
      <c r="N29" s="807"/>
      <c r="O29" s="807"/>
      <c r="P29" s="160">
        <f t="shared" si="0"/>
        <v>0</v>
      </c>
      <c r="Q29" s="806"/>
      <c r="R29" s="806"/>
    </row>
    <row r="30" spans="1:18" ht="15" thickBot="1" x14ac:dyDescent="0.4">
      <c r="A30" s="783"/>
      <c r="B30" s="62" t="s">
        <v>793</v>
      </c>
      <c r="C30" s="91" t="s">
        <v>554</v>
      </c>
      <c r="D30" s="804"/>
      <c r="E30" s="804"/>
      <c r="F30" s="804"/>
      <c r="G30" s="804"/>
      <c r="H30" s="804"/>
      <c r="I30" s="804"/>
      <c r="J30" s="804"/>
      <c r="K30" s="804"/>
      <c r="L30" s="804"/>
      <c r="M30" s="804"/>
      <c r="N30" s="804"/>
      <c r="O30" s="804"/>
      <c r="P30" s="160">
        <f t="shared" si="0"/>
        <v>0</v>
      </c>
      <c r="Q30" s="806"/>
      <c r="R30" s="806"/>
    </row>
    <row r="31" spans="1:18" ht="15" thickBot="1" x14ac:dyDescent="0.4">
      <c r="A31" s="783"/>
      <c r="B31" s="62" t="s">
        <v>16</v>
      </c>
      <c r="C31" s="91" t="s">
        <v>554</v>
      </c>
      <c r="D31" s="804"/>
      <c r="E31" s="804"/>
      <c r="F31" s="804"/>
      <c r="G31" s="804"/>
      <c r="H31" s="804"/>
      <c r="I31" s="804"/>
      <c r="J31" s="804"/>
      <c r="K31" s="804"/>
      <c r="L31" s="804"/>
      <c r="M31" s="804"/>
      <c r="N31" s="804"/>
      <c r="O31" s="804"/>
      <c r="P31" s="160">
        <f>SUM(D31:O31)</f>
        <v>0</v>
      </c>
      <c r="Q31" s="806"/>
      <c r="R31" s="806"/>
    </row>
    <row r="32" spans="1:18" ht="15" thickBot="1" x14ac:dyDescent="0.4">
      <c r="A32" s="783"/>
      <c r="B32" s="62" t="s">
        <v>444</v>
      </c>
      <c r="C32" s="91" t="s">
        <v>554</v>
      </c>
      <c r="D32" s="804"/>
      <c r="E32" s="804"/>
      <c r="F32" s="804"/>
      <c r="G32" s="804"/>
      <c r="H32" s="804"/>
      <c r="I32" s="804"/>
      <c r="J32" s="804"/>
      <c r="K32" s="804"/>
      <c r="L32" s="804"/>
      <c r="M32" s="804"/>
      <c r="N32" s="804"/>
      <c r="O32" s="804"/>
      <c r="P32" s="160">
        <f t="shared" si="0"/>
        <v>0</v>
      </c>
      <c r="Q32" s="806"/>
      <c r="R32" s="806"/>
    </row>
    <row r="33" spans="1:18" ht="15" thickBot="1" x14ac:dyDescent="0.4">
      <c r="A33" s="785"/>
      <c r="B33" s="63" t="s">
        <v>796</v>
      </c>
      <c r="C33" s="148" t="s">
        <v>613</v>
      </c>
      <c r="D33" s="809"/>
      <c r="E33" s="809"/>
      <c r="F33" s="809"/>
      <c r="G33" s="809"/>
      <c r="H33" s="809"/>
      <c r="I33" s="809"/>
      <c r="J33" s="809"/>
      <c r="K33" s="809"/>
      <c r="L33" s="809"/>
      <c r="M33" s="809"/>
      <c r="N33" s="809"/>
      <c r="O33" s="809"/>
      <c r="P33" s="231">
        <f t="shared" si="0"/>
        <v>0</v>
      </c>
      <c r="Q33" s="806"/>
      <c r="R33" s="806"/>
    </row>
    <row r="34" spans="1:18" ht="18" customHeight="1" thickBot="1" x14ac:dyDescent="0.4">
      <c r="A34" s="784" t="s">
        <v>138</v>
      </c>
      <c r="B34" s="61" t="s">
        <v>791</v>
      </c>
      <c r="C34" s="147" t="s">
        <v>792</v>
      </c>
      <c r="D34" s="807"/>
      <c r="E34" s="807"/>
      <c r="F34" s="807"/>
      <c r="G34" s="807"/>
      <c r="H34" s="807"/>
      <c r="I34" s="807"/>
      <c r="J34" s="807"/>
      <c r="K34" s="807"/>
      <c r="L34" s="807"/>
      <c r="M34" s="807"/>
      <c r="N34" s="807"/>
      <c r="O34" s="807"/>
      <c r="P34" s="160">
        <f t="shared" si="0"/>
        <v>0</v>
      </c>
      <c r="Q34" s="806"/>
      <c r="R34" s="806"/>
    </row>
    <row r="35" spans="1:18" ht="15" thickBot="1" x14ac:dyDescent="0.4">
      <c r="A35" s="783"/>
      <c r="B35" s="62" t="s">
        <v>793</v>
      </c>
      <c r="C35" s="91" t="s">
        <v>554</v>
      </c>
      <c r="D35" s="804"/>
      <c r="E35" s="804"/>
      <c r="F35" s="804"/>
      <c r="G35" s="804"/>
      <c r="H35" s="804"/>
      <c r="I35" s="804"/>
      <c r="J35" s="804"/>
      <c r="K35" s="804"/>
      <c r="L35" s="804"/>
      <c r="M35" s="804"/>
      <c r="N35" s="804"/>
      <c r="O35" s="804"/>
      <c r="P35" s="160">
        <f t="shared" si="0"/>
        <v>0</v>
      </c>
      <c r="Q35" s="806"/>
      <c r="R35" s="806"/>
    </row>
    <row r="36" spans="1:18" ht="15" thickBot="1" x14ac:dyDescent="0.4">
      <c r="A36" s="783"/>
      <c r="B36" s="62" t="s">
        <v>16</v>
      </c>
      <c r="C36" s="91" t="s">
        <v>554</v>
      </c>
      <c r="D36" s="804"/>
      <c r="E36" s="804"/>
      <c r="F36" s="804"/>
      <c r="G36" s="804"/>
      <c r="H36" s="804"/>
      <c r="I36" s="804"/>
      <c r="J36" s="804"/>
      <c r="K36" s="804"/>
      <c r="L36" s="804"/>
      <c r="M36" s="804"/>
      <c r="N36" s="804"/>
      <c r="O36" s="804"/>
      <c r="P36" s="160">
        <f t="shared" si="0"/>
        <v>0</v>
      </c>
      <c r="Q36" s="806"/>
      <c r="R36" s="806"/>
    </row>
    <row r="37" spans="1:18" ht="15" thickBot="1" x14ac:dyDescent="0.4">
      <c r="A37" s="783"/>
      <c r="B37" s="62" t="s">
        <v>444</v>
      </c>
      <c r="C37" s="91" t="s">
        <v>554</v>
      </c>
      <c r="D37" s="804"/>
      <c r="E37" s="804"/>
      <c r="F37" s="804"/>
      <c r="G37" s="804"/>
      <c r="H37" s="804"/>
      <c r="I37" s="804"/>
      <c r="J37" s="804"/>
      <c r="K37" s="804"/>
      <c r="L37" s="804"/>
      <c r="M37" s="804"/>
      <c r="N37" s="804"/>
      <c r="O37" s="804"/>
      <c r="P37" s="160">
        <f t="shared" si="0"/>
        <v>0</v>
      </c>
      <c r="Q37" s="806"/>
      <c r="R37" s="806"/>
    </row>
    <row r="38" spans="1:18" ht="15" thickBot="1" x14ac:dyDescent="0.4">
      <c r="A38" s="785"/>
      <c r="B38" s="63" t="s">
        <v>796</v>
      </c>
      <c r="C38" s="148" t="s">
        <v>613</v>
      </c>
      <c r="D38" s="809"/>
      <c r="E38" s="809"/>
      <c r="F38" s="809"/>
      <c r="G38" s="809"/>
      <c r="H38" s="809"/>
      <c r="I38" s="809"/>
      <c r="J38" s="809"/>
      <c r="K38" s="809"/>
      <c r="L38" s="809"/>
      <c r="M38" s="809"/>
      <c r="N38" s="809"/>
      <c r="O38" s="809"/>
      <c r="P38" s="231">
        <f t="shared" si="0"/>
        <v>0</v>
      </c>
      <c r="Q38" s="806"/>
      <c r="R38" s="806"/>
    </row>
    <row r="39" spans="1:18" ht="18" customHeight="1" thickBot="1" x14ac:dyDescent="0.4">
      <c r="A39" s="784" t="s">
        <v>797</v>
      </c>
      <c r="B39" s="61" t="s">
        <v>791</v>
      </c>
      <c r="C39" s="147" t="s">
        <v>792</v>
      </c>
      <c r="D39" s="807"/>
      <c r="E39" s="807"/>
      <c r="F39" s="807"/>
      <c r="G39" s="807"/>
      <c r="H39" s="807"/>
      <c r="I39" s="807"/>
      <c r="J39" s="807"/>
      <c r="K39" s="807"/>
      <c r="L39" s="807"/>
      <c r="M39" s="807"/>
      <c r="N39" s="807"/>
      <c r="O39" s="807"/>
      <c r="P39" s="160">
        <f t="shared" si="0"/>
        <v>0</v>
      </c>
      <c r="Q39" s="806"/>
      <c r="R39" s="806"/>
    </row>
    <row r="40" spans="1:18" ht="15" thickBot="1" x14ac:dyDescent="0.4">
      <c r="A40" s="783"/>
      <c r="B40" s="62" t="s">
        <v>793</v>
      </c>
      <c r="C40" s="91" t="s">
        <v>554</v>
      </c>
      <c r="D40" s="804"/>
      <c r="E40" s="804"/>
      <c r="F40" s="804"/>
      <c r="G40" s="804"/>
      <c r="H40" s="804"/>
      <c r="I40" s="804"/>
      <c r="J40" s="804"/>
      <c r="K40" s="804"/>
      <c r="L40" s="804"/>
      <c r="M40" s="804"/>
      <c r="N40" s="804"/>
      <c r="O40" s="804"/>
      <c r="P40" s="160">
        <f t="shared" si="0"/>
        <v>0</v>
      </c>
      <c r="Q40" s="806"/>
      <c r="R40" s="806"/>
    </row>
    <row r="41" spans="1:18" ht="15" thickBot="1" x14ac:dyDescent="0.4">
      <c r="A41" s="783"/>
      <c r="B41" s="62" t="s">
        <v>16</v>
      </c>
      <c r="C41" s="91" t="s">
        <v>554</v>
      </c>
      <c r="D41" s="804"/>
      <c r="E41" s="804"/>
      <c r="F41" s="804"/>
      <c r="G41" s="804"/>
      <c r="H41" s="804"/>
      <c r="I41" s="804"/>
      <c r="J41" s="804"/>
      <c r="K41" s="804"/>
      <c r="L41" s="804"/>
      <c r="M41" s="804"/>
      <c r="N41" s="804"/>
      <c r="O41" s="804"/>
      <c r="P41" s="160">
        <f t="shared" si="0"/>
        <v>0</v>
      </c>
      <c r="Q41" s="806"/>
      <c r="R41" s="806"/>
    </row>
    <row r="42" spans="1:18" ht="15" thickBot="1" x14ac:dyDescent="0.4">
      <c r="A42" s="783"/>
      <c r="B42" s="62" t="s">
        <v>444</v>
      </c>
      <c r="C42" s="91" t="s">
        <v>554</v>
      </c>
      <c r="D42" s="804"/>
      <c r="E42" s="804"/>
      <c r="F42" s="804"/>
      <c r="G42" s="804"/>
      <c r="H42" s="804"/>
      <c r="I42" s="804"/>
      <c r="J42" s="804"/>
      <c r="K42" s="804"/>
      <c r="L42" s="804"/>
      <c r="M42" s="804"/>
      <c r="N42" s="814"/>
      <c r="O42" s="804"/>
      <c r="P42" s="160">
        <f t="shared" si="0"/>
        <v>0</v>
      </c>
      <c r="Q42" s="806"/>
      <c r="R42" s="806"/>
    </row>
    <row r="43" spans="1:18" ht="15" thickBot="1" x14ac:dyDescent="0.4">
      <c r="A43" s="785"/>
      <c r="B43" s="63" t="s">
        <v>796</v>
      </c>
      <c r="C43" s="148" t="s">
        <v>613</v>
      </c>
      <c r="D43" s="809"/>
      <c r="E43" s="809"/>
      <c r="F43" s="809"/>
      <c r="G43" s="809"/>
      <c r="H43" s="809"/>
      <c r="I43" s="809"/>
      <c r="J43" s="809"/>
      <c r="K43" s="809"/>
      <c r="L43" s="809"/>
      <c r="M43" s="809"/>
      <c r="N43" s="809"/>
      <c r="O43" s="809"/>
      <c r="P43" s="231">
        <f t="shared" si="0"/>
        <v>0</v>
      </c>
      <c r="Q43" s="806"/>
      <c r="R43" s="806"/>
    </row>
    <row r="44" spans="1:18" ht="18" customHeight="1" thickBot="1" x14ac:dyDescent="0.4">
      <c r="A44" s="784" t="s">
        <v>798</v>
      </c>
      <c r="B44" s="61" t="s">
        <v>791</v>
      </c>
      <c r="C44" s="147" t="s">
        <v>792</v>
      </c>
      <c r="D44" s="807"/>
      <c r="E44" s="807"/>
      <c r="F44" s="807"/>
      <c r="G44" s="807"/>
      <c r="H44" s="807"/>
      <c r="I44" s="807"/>
      <c r="J44" s="807"/>
      <c r="K44" s="807"/>
      <c r="L44" s="807"/>
      <c r="M44" s="807"/>
      <c r="N44" s="807"/>
      <c r="O44" s="807"/>
      <c r="P44" s="160">
        <f t="shared" si="0"/>
        <v>0</v>
      </c>
      <c r="Q44" s="806"/>
      <c r="R44" s="806"/>
    </row>
    <row r="45" spans="1:18" ht="15" thickBot="1" x14ac:dyDescent="0.4">
      <c r="A45" s="783"/>
      <c r="B45" s="62" t="s">
        <v>793</v>
      </c>
      <c r="C45" s="91" t="s">
        <v>554</v>
      </c>
      <c r="D45" s="804"/>
      <c r="E45" s="804"/>
      <c r="F45" s="804"/>
      <c r="G45" s="804"/>
      <c r="H45" s="804"/>
      <c r="I45" s="804"/>
      <c r="J45" s="804"/>
      <c r="K45" s="804"/>
      <c r="L45" s="804"/>
      <c r="M45" s="804"/>
      <c r="N45" s="804"/>
      <c r="O45" s="804"/>
      <c r="P45" s="160">
        <f t="shared" si="0"/>
        <v>0</v>
      </c>
      <c r="Q45" s="806"/>
      <c r="R45" s="806"/>
    </row>
    <row r="46" spans="1:18" ht="15" thickBot="1" x14ac:dyDescent="0.4">
      <c r="A46" s="783"/>
      <c r="B46" s="62" t="s">
        <v>16</v>
      </c>
      <c r="C46" s="91" t="s">
        <v>554</v>
      </c>
      <c r="D46" s="804"/>
      <c r="E46" s="804"/>
      <c r="F46" s="804"/>
      <c r="G46" s="804"/>
      <c r="H46" s="804"/>
      <c r="I46" s="804"/>
      <c r="J46" s="804"/>
      <c r="K46" s="804"/>
      <c r="L46" s="804"/>
      <c r="M46" s="804"/>
      <c r="N46" s="804"/>
      <c r="O46" s="804"/>
      <c r="P46" s="160">
        <f t="shared" si="0"/>
        <v>0</v>
      </c>
      <c r="Q46" s="806"/>
      <c r="R46" s="806"/>
    </row>
    <row r="47" spans="1:18" ht="15" thickBot="1" x14ac:dyDescent="0.4">
      <c r="A47" s="783"/>
      <c r="B47" s="62" t="s">
        <v>444</v>
      </c>
      <c r="C47" s="91" t="s">
        <v>554</v>
      </c>
      <c r="D47" s="804"/>
      <c r="E47" s="804"/>
      <c r="F47" s="804"/>
      <c r="G47" s="804"/>
      <c r="H47" s="804"/>
      <c r="I47" s="804"/>
      <c r="J47" s="804"/>
      <c r="K47" s="804"/>
      <c r="L47" s="804"/>
      <c r="M47" s="804"/>
      <c r="N47" s="804"/>
      <c r="O47" s="804"/>
      <c r="P47" s="160">
        <f t="shared" si="0"/>
        <v>0</v>
      </c>
      <c r="Q47" s="806"/>
      <c r="R47" s="806"/>
    </row>
    <row r="48" spans="1:18" ht="15" thickBot="1" x14ac:dyDescent="0.4">
      <c r="A48" s="785"/>
      <c r="B48" s="63" t="s">
        <v>796</v>
      </c>
      <c r="C48" s="148" t="s">
        <v>613</v>
      </c>
      <c r="D48" s="809"/>
      <c r="E48" s="809"/>
      <c r="F48" s="809"/>
      <c r="G48" s="809"/>
      <c r="H48" s="809"/>
      <c r="I48" s="809"/>
      <c r="J48" s="809"/>
      <c r="K48" s="809"/>
      <c r="L48" s="809"/>
      <c r="M48" s="809"/>
      <c r="N48" s="809"/>
      <c r="O48" s="809"/>
      <c r="P48" s="231">
        <f t="shared" si="0"/>
        <v>0</v>
      </c>
      <c r="Q48" s="806"/>
      <c r="R48" s="806"/>
    </row>
    <row r="49" spans="1:18" ht="18" customHeight="1" thickBot="1" x14ac:dyDescent="0.4">
      <c r="A49" s="784" t="s">
        <v>143</v>
      </c>
      <c r="B49" s="61" t="s">
        <v>791</v>
      </c>
      <c r="C49" s="147" t="s">
        <v>792</v>
      </c>
      <c r="D49" s="807"/>
      <c r="E49" s="807"/>
      <c r="F49" s="807"/>
      <c r="G49" s="807"/>
      <c r="H49" s="807"/>
      <c r="I49" s="807"/>
      <c r="J49" s="807"/>
      <c r="K49" s="807"/>
      <c r="L49" s="807"/>
      <c r="M49" s="807"/>
      <c r="N49" s="807"/>
      <c r="O49" s="807"/>
      <c r="P49" s="160">
        <f t="shared" si="0"/>
        <v>0</v>
      </c>
      <c r="Q49" s="806"/>
      <c r="R49" s="806"/>
    </row>
    <row r="50" spans="1:18" ht="15" thickBot="1" x14ac:dyDescent="0.4">
      <c r="A50" s="783"/>
      <c r="B50" s="62" t="s">
        <v>793</v>
      </c>
      <c r="C50" s="91" t="s">
        <v>554</v>
      </c>
      <c r="D50" s="804"/>
      <c r="E50" s="804"/>
      <c r="F50" s="804"/>
      <c r="G50" s="804"/>
      <c r="H50" s="804"/>
      <c r="I50" s="804"/>
      <c r="J50" s="804"/>
      <c r="K50" s="804"/>
      <c r="L50" s="804"/>
      <c r="M50" s="804"/>
      <c r="N50" s="804"/>
      <c r="O50" s="804"/>
      <c r="P50" s="160">
        <f t="shared" si="0"/>
        <v>0</v>
      </c>
      <c r="Q50" s="806"/>
      <c r="R50" s="806"/>
    </row>
    <row r="51" spans="1:18" ht="15" thickBot="1" x14ac:dyDescent="0.4">
      <c r="A51" s="783"/>
      <c r="B51" s="62" t="s">
        <v>16</v>
      </c>
      <c r="C51" s="91" t="s">
        <v>554</v>
      </c>
      <c r="D51" s="804"/>
      <c r="E51" s="804"/>
      <c r="F51" s="804"/>
      <c r="G51" s="804"/>
      <c r="H51" s="804"/>
      <c r="I51" s="804"/>
      <c r="J51" s="804"/>
      <c r="K51" s="804"/>
      <c r="L51" s="804"/>
      <c r="M51" s="804"/>
      <c r="N51" s="804"/>
      <c r="O51" s="804"/>
      <c r="P51" s="160">
        <f t="shared" si="0"/>
        <v>0</v>
      </c>
      <c r="Q51" s="806"/>
      <c r="R51" s="806"/>
    </row>
    <row r="52" spans="1:18" ht="15" thickBot="1" x14ac:dyDescent="0.4">
      <c r="A52" s="783"/>
      <c r="B52" s="62" t="s">
        <v>444</v>
      </c>
      <c r="C52" s="91" t="s">
        <v>554</v>
      </c>
      <c r="D52" s="804"/>
      <c r="E52" s="804"/>
      <c r="F52" s="804"/>
      <c r="G52" s="804"/>
      <c r="H52" s="804"/>
      <c r="I52" s="804"/>
      <c r="J52" s="804"/>
      <c r="K52" s="804"/>
      <c r="L52" s="804"/>
      <c r="M52" s="804"/>
      <c r="N52" s="804"/>
      <c r="O52" s="804"/>
      <c r="P52" s="160">
        <f t="shared" si="0"/>
        <v>0</v>
      </c>
      <c r="Q52" s="806"/>
      <c r="R52" s="806"/>
    </row>
    <row r="53" spans="1:18" ht="15" thickBot="1" x14ac:dyDescent="0.4">
      <c r="A53" s="783"/>
      <c r="B53" s="232" t="s">
        <v>796</v>
      </c>
      <c r="C53" s="213" t="s">
        <v>613</v>
      </c>
      <c r="D53" s="812"/>
      <c r="E53" s="812"/>
      <c r="F53" s="812"/>
      <c r="G53" s="812"/>
      <c r="H53" s="812"/>
      <c r="I53" s="812"/>
      <c r="J53" s="812"/>
      <c r="K53" s="812"/>
      <c r="L53" s="812"/>
      <c r="M53" s="812"/>
      <c r="N53" s="812"/>
      <c r="O53" s="812"/>
      <c r="P53" s="216">
        <f t="shared" si="0"/>
        <v>0</v>
      </c>
      <c r="Q53" s="806"/>
      <c r="R53" s="806"/>
    </row>
    <row r="54" spans="1:18" ht="18" customHeight="1" x14ac:dyDescent="0.35">
      <c r="A54" s="786" t="s">
        <v>144</v>
      </c>
      <c r="B54" s="61" t="s">
        <v>791</v>
      </c>
      <c r="C54" s="147" t="s">
        <v>792</v>
      </c>
      <c r="D54" s="807"/>
      <c r="E54" s="807"/>
      <c r="F54" s="807"/>
      <c r="G54" s="807"/>
      <c r="H54" s="807"/>
      <c r="I54" s="807"/>
      <c r="J54" s="807"/>
      <c r="K54" s="807"/>
      <c r="L54" s="807"/>
      <c r="M54" s="807"/>
      <c r="N54" s="807"/>
      <c r="O54" s="807"/>
      <c r="P54" s="233">
        <f t="shared" si="0"/>
        <v>0</v>
      </c>
      <c r="Q54" s="806"/>
      <c r="R54" s="806"/>
    </row>
    <row r="55" spans="1:18" x14ac:dyDescent="0.35">
      <c r="A55" s="787"/>
      <c r="B55" s="62" t="s">
        <v>793</v>
      </c>
      <c r="C55" s="91" t="s">
        <v>554</v>
      </c>
      <c r="D55" s="804"/>
      <c r="E55" s="804"/>
      <c r="F55" s="804"/>
      <c r="G55" s="804"/>
      <c r="H55" s="804"/>
      <c r="I55" s="804"/>
      <c r="J55" s="804"/>
      <c r="K55" s="804"/>
      <c r="L55" s="804"/>
      <c r="M55" s="804"/>
      <c r="N55" s="804"/>
      <c r="O55" s="804"/>
      <c r="P55" s="222">
        <f t="shared" si="0"/>
        <v>0</v>
      </c>
      <c r="Q55" s="806"/>
      <c r="R55" s="806"/>
    </row>
    <row r="56" spans="1:18" x14ac:dyDescent="0.35">
      <c r="A56" s="787"/>
      <c r="B56" s="62" t="s">
        <v>16</v>
      </c>
      <c r="C56" s="91" t="s">
        <v>554</v>
      </c>
      <c r="D56" s="804"/>
      <c r="E56" s="804"/>
      <c r="F56" s="804"/>
      <c r="G56" s="804"/>
      <c r="H56" s="804"/>
      <c r="I56" s="804"/>
      <c r="J56" s="804"/>
      <c r="K56" s="804"/>
      <c r="L56" s="804"/>
      <c r="M56" s="804"/>
      <c r="N56" s="804"/>
      <c r="O56" s="804"/>
      <c r="P56" s="222">
        <f t="shared" si="0"/>
        <v>0</v>
      </c>
      <c r="Q56" s="806"/>
      <c r="R56" s="806"/>
    </row>
    <row r="57" spans="1:18" x14ac:dyDescent="0.35">
      <c r="A57" s="787"/>
      <c r="B57" s="62" t="s">
        <v>444</v>
      </c>
      <c r="C57" s="91" t="s">
        <v>554</v>
      </c>
      <c r="D57" s="804"/>
      <c r="E57" s="804"/>
      <c r="F57" s="804"/>
      <c r="G57" s="804"/>
      <c r="H57" s="804"/>
      <c r="I57" s="804"/>
      <c r="J57" s="804"/>
      <c r="K57" s="804"/>
      <c r="L57" s="804"/>
      <c r="M57" s="804"/>
      <c r="N57" s="804"/>
      <c r="O57" s="804"/>
      <c r="P57" s="222">
        <f t="shared" si="0"/>
        <v>0</v>
      </c>
      <c r="Q57" s="806"/>
      <c r="R57" s="806"/>
    </row>
    <row r="58" spans="1:18" ht="15" thickBot="1" x14ac:dyDescent="0.4">
      <c r="A58" s="798"/>
      <c r="B58" s="232" t="s">
        <v>796</v>
      </c>
      <c r="C58" s="213" t="s">
        <v>613</v>
      </c>
      <c r="D58" s="812"/>
      <c r="E58" s="812"/>
      <c r="F58" s="812"/>
      <c r="G58" s="812"/>
      <c r="H58" s="812"/>
      <c r="I58" s="812"/>
      <c r="J58" s="812"/>
      <c r="K58" s="812"/>
      <c r="L58" s="812"/>
      <c r="M58" s="812"/>
      <c r="N58" s="812"/>
      <c r="O58" s="812"/>
      <c r="P58" s="235">
        <f t="shared" si="0"/>
        <v>0</v>
      </c>
      <c r="Q58" s="806"/>
      <c r="R58" s="806"/>
    </row>
    <row r="59" spans="1:18" ht="18" customHeight="1" thickBot="1" x14ac:dyDescent="0.4">
      <c r="A59" s="784" t="s">
        <v>145</v>
      </c>
      <c r="B59" s="61" t="s">
        <v>791</v>
      </c>
      <c r="C59" s="147" t="s">
        <v>792</v>
      </c>
      <c r="D59" s="807"/>
      <c r="E59" s="807"/>
      <c r="F59" s="807"/>
      <c r="G59" s="807"/>
      <c r="H59" s="807"/>
      <c r="I59" s="807"/>
      <c r="J59" s="807"/>
      <c r="K59" s="807"/>
      <c r="L59" s="807"/>
      <c r="M59" s="807"/>
      <c r="N59" s="807"/>
      <c r="O59" s="807"/>
      <c r="P59" s="160">
        <f t="shared" si="0"/>
        <v>0</v>
      </c>
      <c r="Q59" s="806"/>
      <c r="R59" s="806"/>
    </row>
    <row r="60" spans="1:18" ht="15" thickBot="1" x14ac:dyDescent="0.4">
      <c r="A60" s="783"/>
      <c r="B60" s="62" t="s">
        <v>793</v>
      </c>
      <c r="C60" s="91" t="s">
        <v>554</v>
      </c>
      <c r="D60" s="804"/>
      <c r="E60" s="804"/>
      <c r="F60" s="804"/>
      <c r="G60" s="804"/>
      <c r="H60" s="804"/>
      <c r="I60" s="804"/>
      <c r="J60" s="804"/>
      <c r="K60" s="804"/>
      <c r="L60" s="804"/>
      <c r="M60" s="804"/>
      <c r="N60" s="804"/>
      <c r="O60" s="804"/>
      <c r="P60" s="160">
        <f t="shared" si="0"/>
        <v>0</v>
      </c>
      <c r="Q60" s="806"/>
      <c r="R60" s="806"/>
    </row>
    <row r="61" spans="1:18" ht="15" thickBot="1" x14ac:dyDescent="0.4">
      <c r="A61" s="783"/>
      <c r="B61" s="62" t="s">
        <v>16</v>
      </c>
      <c r="C61" s="91" t="s">
        <v>554</v>
      </c>
      <c r="D61" s="804"/>
      <c r="E61" s="804"/>
      <c r="F61" s="804"/>
      <c r="G61" s="804"/>
      <c r="H61" s="804"/>
      <c r="I61" s="804"/>
      <c r="J61" s="804"/>
      <c r="K61" s="804"/>
      <c r="L61" s="804"/>
      <c r="M61" s="804"/>
      <c r="N61" s="804"/>
      <c r="O61" s="804"/>
      <c r="P61" s="160">
        <f t="shared" si="0"/>
        <v>0</v>
      </c>
      <c r="Q61" s="806"/>
      <c r="R61" s="806"/>
    </row>
    <row r="62" spans="1:18" ht="15" thickBot="1" x14ac:dyDescent="0.4">
      <c r="A62" s="783"/>
      <c r="B62" s="62" t="s">
        <v>444</v>
      </c>
      <c r="C62" s="91" t="s">
        <v>554</v>
      </c>
      <c r="D62" s="804"/>
      <c r="E62" s="804"/>
      <c r="F62" s="804"/>
      <c r="G62" s="804"/>
      <c r="H62" s="804"/>
      <c r="I62" s="804"/>
      <c r="J62" s="804"/>
      <c r="K62" s="804"/>
      <c r="L62" s="804"/>
      <c r="M62" s="804"/>
      <c r="N62" s="804"/>
      <c r="O62" s="804"/>
      <c r="P62" s="160">
        <f t="shared" si="0"/>
        <v>0</v>
      </c>
      <c r="Q62" s="806"/>
      <c r="R62" s="806"/>
    </row>
    <row r="63" spans="1:18" ht="15" thickBot="1" x14ac:dyDescent="0.4">
      <c r="A63" s="785"/>
      <c r="B63" s="63" t="s">
        <v>796</v>
      </c>
      <c r="C63" s="148" t="s">
        <v>613</v>
      </c>
      <c r="D63" s="809"/>
      <c r="E63" s="809"/>
      <c r="F63" s="809"/>
      <c r="G63" s="809"/>
      <c r="H63" s="809"/>
      <c r="I63" s="809"/>
      <c r="J63" s="809"/>
      <c r="K63" s="809"/>
      <c r="L63" s="809"/>
      <c r="M63" s="809"/>
      <c r="N63" s="809"/>
      <c r="O63" s="809"/>
      <c r="P63" s="231">
        <f t="shared" si="0"/>
        <v>0</v>
      </c>
      <c r="Q63" s="806"/>
      <c r="R63" s="806"/>
    </row>
    <row r="64" spans="1:18" ht="17" thickBot="1" x14ac:dyDescent="0.4">
      <c r="A64" s="783" t="s">
        <v>146</v>
      </c>
      <c r="B64" s="229" t="s">
        <v>791</v>
      </c>
      <c r="C64" s="214" t="s">
        <v>792</v>
      </c>
      <c r="D64" s="813"/>
      <c r="E64" s="813"/>
      <c r="F64" s="813"/>
      <c r="G64" s="813"/>
      <c r="H64" s="813"/>
      <c r="I64" s="813"/>
      <c r="J64" s="813"/>
      <c r="K64" s="813"/>
      <c r="L64" s="813"/>
      <c r="M64" s="813"/>
      <c r="N64" s="813"/>
      <c r="O64" s="813"/>
      <c r="P64" s="230">
        <f t="shared" si="0"/>
        <v>0</v>
      </c>
      <c r="Q64" s="806"/>
      <c r="R64" s="806"/>
    </row>
    <row r="65" spans="1:18" ht="15.75" customHeight="1" thickBot="1" x14ac:dyDescent="0.4">
      <c r="A65" s="783"/>
      <c r="B65" s="62" t="s">
        <v>793</v>
      </c>
      <c r="C65" s="91" t="s">
        <v>554</v>
      </c>
      <c r="D65" s="804"/>
      <c r="E65" s="804"/>
      <c r="F65" s="804"/>
      <c r="G65" s="804"/>
      <c r="H65" s="804"/>
      <c r="I65" s="804"/>
      <c r="J65" s="804"/>
      <c r="K65" s="804"/>
      <c r="L65" s="804"/>
      <c r="M65" s="804"/>
      <c r="N65" s="804"/>
      <c r="O65" s="804"/>
      <c r="P65" s="160">
        <f t="shared" si="0"/>
        <v>0</v>
      </c>
      <c r="Q65" s="806"/>
      <c r="R65" s="806"/>
    </row>
    <row r="66" spans="1:18" ht="15" thickBot="1" x14ac:dyDescent="0.4">
      <c r="A66" s="783"/>
      <c r="B66" s="62" t="s">
        <v>16</v>
      </c>
      <c r="C66" s="91" t="s">
        <v>554</v>
      </c>
      <c r="D66" s="804"/>
      <c r="E66" s="804"/>
      <c r="F66" s="804"/>
      <c r="G66" s="804"/>
      <c r="H66" s="804"/>
      <c r="I66" s="804"/>
      <c r="J66" s="804"/>
      <c r="K66" s="804"/>
      <c r="L66" s="804"/>
      <c r="M66" s="804"/>
      <c r="N66" s="804"/>
      <c r="O66" s="804"/>
      <c r="P66" s="160">
        <f t="shared" si="0"/>
        <v>0</v>
      </c>
      <c r="Q66" s="806"/>
      <c r="R66" s="806"/>
    </row>
    <row r="67" spans="1:18" ht="15" thickBot="1" x14ac:dyDescent="0.4">
      <c r="A67" s="783"/>
      <c r="B67" s="62" t="s">
        <v>444</v>
      </c>
      <c r="C67" s="91" t="s">
        <v>554</v>
      </c>
      <c r="D67" s="804"/>
      <c r="E67" s="804"/>
      <c r="F67" s="804"/>
      <c r="G67" s="804"/>
      <c r="H67" s="804"/>
      <c r="I67" s="804"/>
      <c r="J67" s="804"/>
      <c r="K67" s="804"/>
      <c r="L67" s="804"/>
      <c r="M67" s="804"/>
      <c r="N67" s="804"/>
      <c r="O67" s="804"/>
      <c r="P67" s="160">
        <f t="shared" si="0"/>
        <v>0</v>
      </c>
      <c r="Q67" s="806"/>
      <c r="R67" s="806"/>
    </row>
    <row r="68" spans="1:18" ht="15" thickBot="1" x14ac:dyDescent="0.4">
      <c r="A68" s="783"/>
      <c r="B68" s="232" t="s">
        <v>796</v>
      </c>
      <c r="C68" s="213" t="s">
        <v>613</v>
      </c>
      <c r="D68" s="812"/>
      <c r="E68" s="812"/>
      <c r="F68" s="812"/>
      <c r="G68" s="812"/>
      <c r="H68" s="812"/>
      <c r="I68" s="812"/>
      <c r="J68" s="812"/>
      <c r="K68" s="812"/>
      <c r="L68" s="812"/>
      <c r="M68" s="812"/>
      <c r="N68" s="812"/>
      <c r="O68" s="812"/>
      <c r="P68" s="216">
        <f t="shared" si="0"/>
        <v>0</v>
      </c>
      <c r="Q68" s="806"/>
      <c r="R68" s="806"/>
    </row>
    <row r="69" spans="1:18" ht="18" customHeight="1" thickBot="1" x14ac:dyDescent="0.4">
      <c r="A69" s="784" t="s">
        <v>147</v>
      </c>
      <c r="B69" s="61" t="s">
        <v>791</v>
      </c>
      <c r="C69" s="147" t="s">
        <v>792</v>
      </c>
      <c r="D69" s="807"/>
      <c r="E69" s="807"/>
      <c r="F69" s="807"/>
      <c r="G69" s="807"/>
      <c r="H69" s="807"/>
      <c r="I69" s="807"/>
      <c r="J69" s="807"/>
      <c r="K69" s="807"/>
      <c r="L69" s="807"/>
      <c r="M69" s="807"/>
      <c r="N69" s="807"/>
      <c r="O69" s="807"/>
      <c r="P69" s="160">
        <f t="shared" ref="P69:P132" si="1">SUM(D69:O69)</f>
        <v>0</v>
      </c>
      <c r="Q69" s="806"/>
      <c r="R69" s="806"/>
    </row>
    <row r="70" spans="1:18" ht="15" thickBot="1" x14ac:dyDescent="0.4">
      <c r="A70" s="783"/>
      <c r="B70" s="62" t="s">
        <v>793</v>
      </c>
      <c r="C70" s="91" t="s">
        <v>554</v>
      </c>
      <c r="D70" s="804"/>
      <c r="E70" s="804"/>
      <c r="F70" s="804"/>
      <c r="G70" s="804"/>
      <c r="H70" s="804"/>
      <c r="I70" s="804"/>
      <c r="J70" s="804"/>
      <c r="K70" s="804"/>
      <c r="L70" s="804"/>
      <c r="M70" s="804"/>
      <c r="N70" s="804"/>
      <c r="O70" s="804"/>
      <c r="P70" s="160">
        <f t="shared" si="1"/>
        <v>0</v>
      </c>
      <c r="Q70" s="806"/>
      <c r="R70" s="806"/>
    </row>
    <row r="71" spans="1:18" ht="15" thickBot="1" x14ac:dyDescent="0.4">
      <c r="A71" s="783"/>
      <c r="B71" s="62" t="s">
        <v>16</v>
      </c>
      <c r="C71" s="91" t="s">
        <v>554</v>
      </c>
      <c r="D71" s="804"/>
      <c r="E71" s="804"/>
      <c r="F71" s="804"/>
      <c r="G71" s="804"/>
      <c r="H71" s="804"/>
      <c r="I71" s="804"/>
      <c r="J71" s="804"/>
      <c r="K71" s="804"/>
      <c r="L71" s="804"/>
      <c r="M71" s="804"/>
      <c r="N71" s="804"/>
      <c r="O71" s="804"/>
      <c r="P71" s="160">
        <f t="shared" si="1"/>
        <v>0</v>
      </c>
      <c r="Q71" s="806"/>
      <c r="R71" s="806"/>
    </row>
    <row r="72" spans="1:18" ht="15" thickBot="1" x14ac:dyDescent="0.4">
      <c r="A72" s="783"/>
      <c r="B72" s="62" t="s">
        <v>444</v>
      </c>
      <c r="C72" s="91" t="s">
        <v>554</v>
      </c>
      <c r="D72" s="804"/>
      <c r="E72" s="804"/>
      <c r="F72" s="804"/>
      <c r="G72" s="804"/>
      <c r="H72" s="804"/>
      <c r="I72" s="804"/>
      <c r="J72" s="804"/>
      <c r="K72" s="804"/>
      <c r="L72" s="804"/>
      <c r="M72" s="804"/>
      <c r="N72" s="804"/>
      <c r="O72" s="804"/>
      <c r="P72" s="160">
        <f t="shared" si="1"/>
        <v>0</v>
      </c>
      <c r="Q72" s="806"/>
      <c r="R72" s="806"/>
    </row>
    <row r="73" spans="1:18" ht="15" thickBot="1" x14ac:dyDescent="0.4">
      <c r="A73" s="783"/>
      <c r="B73" s="232" t="s">
        <v>796</v>
      </c>
      <c r="C73" s="213">
        <v>0</v>
      </c>
      <c r="D73" s="812"/>
      <c r="E73" s="812"/>
      <c r="F73" s="812"/>
      <c r="G73" s="812"/>
      <c r="H73" s="812"/>
      <c r="I73" s="812"/>
      <c r="J73" s="812"/>
      <c r="K73" s="812"/>
      <c r="L73" s="812"/>
      <c r="M73" s="812"/>
      <c r="N73" s="812"/>
      <c r="O73" s="812"/>
      <c r="P73" s="216">
        <f t="shared" si="1"/>
        <v>0</v>
      </c>
      <c r="Q73" s="806"/>
      <c r="R73" s="806"/>
    </row>
    <row r="74" spans="1:18" ht="17" thickBot="1" x14ac:dyDescent="0.4">
      <c r="A74" s="784" t="s">
        <v>148</v>
      </c>
      <c r="B74" s="61" t="s">
        <v>791</v>
      </c>
      <c r="C74" s="147" t="s">
        <v>792</v>
      </c>
      <c r="D74" s="807"/>
      <c r="E74" s="807"/>
      <c r="F74" s="807"/>
      <c r="G74" s="807"/>
      <c r="H74" s="807"/>
      <c r="I74" s="807"/>
      <c r="J74" s="807"/>
      <c r="K74" s="807"/>
      <c r="L74" s="807"/>
      <c r="M74" s="807"/>
      <c r="N74" s="807"/>
      <c r="O74" s="807"/>
      <c r="P74" s="160">
        <f t="shared" si="1"/>
        <v>0</v>
      </c>
      <c r="Q74" s="806"/>
      <c r="R74" s="806"/>
    </row>
    <row r="75" spans="1:18" ht="15" thickBot="1" x14ac:dyDescent="0.4">
      <c r="A75" s="783"/>
      <c r="B75" s="62" t="s">
        <v>793</v>
      </c>
      <c r="C75" s="91" t="s">
        <v>554</v>
      </c>
      <c r="D75" s="804"/>
      <c r="E75" s="804"/>
      <c r="F75" s="804"/>
      <c r="G75" s="804"/>
      <c r="H75" s="804"/>
      <c r="I75" s="804"/>
      <c r="J75" s="804"/>
      <c r="K75" s="804"/>
      <c r="L75" s="804"/>
      <c r="M75" s="804"/>
      <c r="N75" s="804"/>
      <c r="O75" s="804"/>
      <c r="P75" s="160">
        <f t="shared" si="1"/>
        <v>0</v>
      </c>
      <c r="Q75" s="806"/>
      <c r="R75" s="806"/>
    </row>
    <row r="76" spans="1:18" ht="30.75" customHeight="1" thickBot="1" x14ac:dyDescent="0.4">
      <c r="A76" s="783"/>
      <c r="B76" s="62" t="s">
        <v>16</v>
      </c>
      <c r="C76" s="91" t="s">
        <v>554</v>
      </c>
      <c r="D76" s="804"/>
      <c r="E76" s="804"/>
      <c r="F76" s="804"/>
      <c r="G76" s="804"/>
      <c r="H76" s="804"/>
      <c r="I76" s="804"/>
      <c r="J76" s="804"/>
      <c r="K76" s="804"/>
      <c r="L76" s="804"/>
      <c r="M76" s="804"/>
      <c r="N76" s="804"/>
      <c r="O76" s="804"/>
      <c r="P76" s="160">
        <f t="shared" si="1"/>
        <v>0</v>
      </c>
      <c r="Q76" s="806"/>
      <c r="R76" s="806"/>
    </row>
    <row r="77" spans="1:18" ht="15" thickBot="1" x14ac:dyDescent="0.4">
      <c r="A77" s="783"/>
      <c r="B77" s="62" t="s">
        <v>444</v>
      </c>
      <c r="C77" s="91" t="s">
        <v>554</v>
      </c>
      <c r="D77" s="804"/>
      <c r="E77" s="804"/>
      <c r="F77" s="804"/>
      <c r="G77" s="804"/>
      <c r="H77" s="804"/>
      <c r="I77" s="804"/>
      <c r="J77" s="804"/>
      <c r="K77" s="804"/>
      <c r="L77" s="804"/>
      <c r="M77" s="804"/>
      <c r="N77" s="804"/>
      <c r="O77" s="804"/>
      <c r="P77" s="160">
        <f t="shared" si="1"/>
        <v>0</v>
      </c>
      <c r="Q77" s="806"/>
      <c r="R77" s="806"/>
    </row>
    <row r="78" spans="1:18" ht="15" thickBot="1" x14ac:dyDescent="0.4">
      <c r="A78" s="785"/>
      <c r="B78" s="63" t="s">
        <v>796</v>
      </c>
      <c r="C78" s="148" t="s">
        <v>613</v>
      </c>
      <c r="D78" s="809"/>
      <c r="E78" s="809"/>
      <c r="F78" s="809"/>
      <c r="G78" s="809"/>
      <c r="H78" s="809"/>
      <c r="I78" s="809"/>
      <c r="J78" s="809"/>
      <c r="K78" s="809"/>
      <c r="L78" s="809"/>
      <c r="M78" s="809"/>
      <c r="N78" s="809"/>
      <c r="O78" s="809"/>
      <c r="P78" s="231">
        <f t="shared" si="1"/>
        <v>0</v>
      </c>
      <c r="Q78" s="806"/>
      <c r="R78" s="806"/>
    </row>
    <row r="79" spans="1:18" ht="18" customHeight="1" thickBot="1" x14ac:dyDescent="0.4">
      <c r="A79" s="784" t="s">
        <v>150</v>
      </c>
      <c r="B79" s="61" t="s">
        <v>791</v>
      </c>
      <c r="C79" s="147" t="s">
        <v>792</v>
      </c>
      <c r="D79" s="807"/>
      <c r="E79" s="807"/>
      <c r="F79" s="807"/>
      <c r="G79" s="807"/>
      <c r="H79" s="807"/>
      <c r="I79" s="807"/>
      <c r="J79" s="807"/>
      <c r="K79" s="807"/>
      <c r="L79" s="807"/>
      <c r="M79" s="807"/>
      <c r="N79" s="807"/>
      <c r="O79" s="807"/>
      <c r="P79" s="160">
        <f t="shared" si="1"/>
        <v>0</v>
      </c>
      <c r="Q79" s="806"/>
      <c r="R79" s="806"/>
    </row>
    <row r="80" spans="1:18" ht="15" thickBot="1" x14ac:dyDescent="0.4">
      <c r="A80" s="783"/>
      <c r="B80" s="62" t="s">
        <v>793</v>
      </c>
      <c r="C80" s="91" t="s">
        <v>554</v>
      </c>
      <c r="D80" s="804"/>
      <c r="E80" s="804"/>
      <c r="F80" s="804"/>
      <c r="G80" s="804"/>
      <c r="H80" s="804"/>
      <c r="I80" s="804"/>
      <c r="J80" s="804"/>
      <c r="K80" s="804"/>
      <c r="L80" s="804"/>
      <c r="M80" s="804"/>
      <c r="N80" s="804"/>
      <c r="O80" s="804"/>
      <c r="P80" s="160">
        <f t="shared" si="1"/>
        <v>0</v>
      </c>
      <c r="Q80" s="806"/>
      <c r="R80" s="806"/>
    </row>
    <row r="81" spans="1:18" ht="15" thickBot="1" x14ac:dyDescent="0.4">
      <c r="A81" s="783"/>
      <c r="B81" s="62" t="s">
        <v>16</v>
      </c>
      <c r="C81" s="91" t="s">
        <v>554</v>
      </c>
      <c r="D81" s="804"/>
      <c r="E81" s="804"/>
      <c r="F81" s="804"/>
      <c r="G81" s="804"/>
      <c r="H81" s="804"/>
      <c r="I81" s="804"/>
      <c r="J81" s="804"/>
      <c r="K81" s="804"/>
      <c r="L81" s="804"/>
      <c r="M81" s="804"/>
      <c r="N81" s="804"/>
      <c r="O81" s="804"/>
      <c r="P81" s="160">
        <f t="shared" si="1"/>
        <v>0</v>
      </c>
      <c r="Q81" s="806"/>
      <c r="R81" s="806"/>
    </row>
    <row r="82" spans="1:18" ht="15" thickBot="1" x14ac:dyDescent="0.4">
      <c r="A82" s="783"/>
      <c r="B82" s="62" t="s">
        <v>444</v>
      </c>
      <c r="C82" s="91" t="s">
        <v>554</v>
      </c>
      <c r="D82" s="804"/>
      <c r="E82" s="804"/>
      <c r="F82" s="804"/>
      <c r="G82" s="804"/>
      <c r="H82" s="804"/>
      <c r="I82" s="804"/>
      <c r="J82" s="804"/>
      <c r="K82" s="804"/>
      <c r="L82" s="804"/>
      <c r="M82" s="804"/>
      <c r="N82" s="804"/>
      <c r="O82" s="804"/>
      <c r="P82" s="160">
        <f t="shared" si="1"/>
        <v>0</v>
      </c>
      <c r="Q82" s="806"/>
      <c r="R82" s="806"/>
    </row>
    <row r="83" spans="1:18" ht="15" thickBot="1" x14ac:dyDescent="0.4">
      <c r="A83" s="785"/>
      <c r="B83" s="63" t="s">
        <v>796</v>
      </c>
      <c r="C83" s="148" t="s">
        <v>613</v>
      </c>
      <c r="D83" s="809"/>
      <c r="E83" s="809"/>
      <c r="F83" s="809"/>
      <c r="G83" s="809"/>
      <c r="H83" s="809"/>
      <c r="I83" s="809"/>
      <c r="J83" s="809"/>
      <c r="K83" s="809"/>
      <c r="L83" s="809"/>
      <c r="M83" s="809"/>
      <c r="N83" s="809"/>
      <c r="O83" s="809"/>
      <c r="P83" s="231">
        <f t="shared" si="1"/>
        <v>0</v>
      </c>
      <c r="Q83" s="806"/>
      <c r="R83" s="806"/>
    </row>
    <row r="84" spans="1:18" ht="18" customHeight="1" thickBot="1" x14ac:dyDescent="0.4">
      <c r="A84" s="784" t="s">
        <v>151</v>
      </c>
      <c r="B84" s="61" t="s">
        <v>791</v>
      </c>
      <c r="C84" s="147" t="s">
        <v>792</v>
      </c>
      <c r="D84" s="807"/>
      <c r="E84" s="807"/>
      <c r="F84" s="807"/>
      <c r="G84" s="807"/>
      <c r="H84" s="807"/>
      <c r="I84" s="807"/>
      <c r="J84" s="807"/>
      <c r="K84" s="807"/>
      <c r="L84" s="807"/>
      <c r="M84" s="807"/>
      <c r="N84" s="807"/>
      <c r="O84" s="807"/>
      <c r="P84" s="160">
        <f t="shared" si="1"/>
        <v>0</v>
      </c>
      <c r="Q84" s="806"/>
      <c r="R84" s="806"/>
    </row>
    <row r="85" spans="1:18" ht="15" thickBot="1" x14ac:dyDescent="0.4">
      <c r="A85" s="783"/>
      <c r="B85" s="62" t="s">
        <v>793</v>
      </c>
      <c r="C85" s="91" t="s">
        <v>554</v>
      </c>
      <c r="D85" s="804"/>
      <c r="E85" s="804"/>
      <c r="F85" s="804"/>
      <c r="G85" s="804"/>
      <c r="H85" s="804"/>
      <c r="I85" s="804"/>
      <c r="J85" s="804"/>
      <c r="K85" s="804"/>
      <c r="L85" s="804"/>
      <c r="M85" s="804"/>
      <c r="N85" s="804"/>
      <c r="O85" s="804"/>
      <c r="P85" s="160">
        <f t="shared" si="1"/>
        <v>0</v>
      </c>
      <c r="Q85" s="806"/>
      <c r="R85" s="806"/>
    </row>
    <row r="86" spans="1:18" ht="15" thickBot="1" x14ac:dyDescent="0.4">
      <c r="A86" s="783"/>
      <c r="B86" s="62" t="s">
        <v>16</v>
      </c>
      <c r="C86" s="91" t="s">
        <v>554</v>
      </c>
      <c r="D86" s="804"/>
      <c r="E86" s="804"/>
      <c r="F86" s="804"/>
      <c r="G86" s="804"/>
      <c r="H86" s="804"/>
      <c r="I86" s="804"/>
      <c r="J86" s="804"/>
      <c r="K86" s="804"/>
      <c r="L86" s="804"/>
      <c r="M86" s="804"/>
      <c r="N86" s="804"/>
      <c r="O86" s="804"/>
      <c r="P86" s="160">
        <f t="shared" si="1"/>
        <v>0</v>
      </c>
      <c r="Q86" s="806"/>
      <c r="R86" s="806"/>
    </row>
    <row r="87" spans="1:18" ht="15" thickBot="1" x14ac:dyDescent="0.4">
      <c r="A87" s="783"/>
      <c r="B87" s="62" t="s">
        <v>444</v>
      </c>
      <c r="C87" s="91" t="s">
        <v>554</v>
      </c>
      <c r="D87" s="804"/>
      <c r="E87" s="804"/>
      <c r="F87" s="804"/>
      <c r="G87" s="804"/>
      <c r="H87" s="804"/>
      <c r="I87" s="804"/>
      <c r="J87" s="804"/>
      <c r="K87" s="804"/>
      <c r="L87" s="804"/>
      <c r="M87" s="804"/>
      <c r="N87" s="804"/>
      <c r="O87" s="804"/>
      <c r="P87" s="160">
        <f t="shared" si="1"/>
        <v>0</v>
      </c>
      <c r="Q87" s="806"/>
      <c r="R87" s="806"/>
    </row>
    <row r="88" spans="1:18" ht="15" thickBot="1" x14ac:dyDescent="0.4">
      <c r="A88" s="785"/>
      <c r="B88" s="63" t="s">
        <v>796</v>
      </c>
      <c r="C88" s="148" t="s">
        <v>613</v>
      </c>
      <c r="D88" s="809"/>
      <c r="E88" s="809"/>
      <c r="F88" s="809"/>
      <c r="G88" s="809"/>
      <c r="H88" s="809"/>
      <c r="I88" s="809"/>
      <c r="J88" s="809"/>
      <c r="K88" s="809"/>
      <c r="L88" s="809"/>
      <c r="M88" s="809"/>
      <c r="N88" s="809"/>
      <c r="O88" s="809"/>
      <c r="P88" s="231">
        <f t="shared" si="1"/>
        <v>0</v>
      </c>
      <c r="Q88" s="806"/>
      <c r="R88" s="806"/>
    </row>
    <row r="89" spans="1:18" ht="18" customHeight="1" thickBot="1" x14ac:dyDescent="0.4">
      <c r="A89" s="784" t="s">
        <v>152</v>
      </c>
      <c r="B89" s="61" t="s">
        <v>791</v>
      </c>
      <c r="C89" s="147" t="s">
        <v>792</v>
      </c>
      <c r="D89" s="807"/>
      <c r="E89" s="807"/>
      <c r="F89" s="807"/>
      <c r="G89" s="807"/>
      <c r="H89" s="807"/>
      <c r="I89" s="807"/>
      <c r="J89" s="807"/>
      <c r="K89" s="807"/>
      <c r="L89" s="807"/>
      <c r="M89" s="807"/>
      <c r="N89" s="807"/>
      <c r="O89" s="807"/>
      <c r="P89" s="160">
        <f t="shared" si="1"/>
        <v>0</v>
      </c>
      <c r="Q89" s="806"/>
      <c r="R89" s="806"/>
    </row>
    <row r="90" spans="1:18" ht="15" thickBot="1" x14ac:dyDescent="0.4">
      <c r="A90" s="783"/>
      <c r="B90" s="62" t="s">
        <v>793</v>
      </c>
      <c r="C90" s="91" t="s">
        <v>554</v>
      </c>
      <c r="D90" s="804"/>
      <c r="E90" s="804"/>
      <c r="F90" s="804"/>
      <c r="G90" s="804"/>
      <c r="H90" s="804"/>
      <c r="I90" s="804"/>
      <c r="J90" s="804"/>
      <c r="K90" s="804"/>
      <c r="L90" s="804"/>
      <c r="M90" s="804"/>
      <c r="N90" s="804"/>
      <c r="O90" s="804"/>
      <c r="P90" s="160">
        <f t="shared" si="1"/>
        <v>0</v>
      </c>
      <c r="Q90" s="806"/>
      <c r="R90" s="806"/>
    </row>
    <row r="91" spans="1:18" ht="15" thickBot="1" x14ac:dyDescent="0.4">
      <c r="A91" s="783"/>
      <c r="B91" s="62" t="s">
        <v>16</v>
      </c>
      <c r="C91" s="91" t="s">
        <v>554</v>
      </c>
      <c r="D91" s="804"/>
      <c r="E91" s="804"/>
      <c r="F91" s="804"/>
      <c r="G91" s="804"/>
      <c r="H91" s="804"/>
      <c r="I91" s="804"/>
      <c r="J91" s="804"/>
      <c r="K91" s="804"/>
      <c r="L91" s="804"/>
      <c r="M91" s="804"/>
      <c r="N91" s="804"/>
      <c r="O91" s="804"/>
      <c r="P91" s="160">
        <f t="shared" si="1"/>
        <v>0</v>
      </c>
      <c r="Q91" s="806"/>
      <c r="R91" s="806"/>
    </row>
    <row r="92" spans="1:18" ht="15" thickBot="1" x14ac:dyDescent="0.4">
      <c r="A92" s="783"/>
      <c r="B92" s="62" t="s">
        <v>444</v>
      </c>
      <c r="C92" s="91" t="s">
        <v>554</v>
      </c>
      <c r="D92" s="804"/>
      <c r="E92" s="804"/>
      <c r="F92" s="804"/>
      <c r="G92" s="804"/>
      <c r="H92" s="804"/>
      <c r="I92" s="804"/>
      <c r="J92" s="804"/>
      <c r="K92" s="804"/>
      <c r="L92" s="804"/>
      <c r="M92" s="804"/>
      <c r="N92" s="804"/>
      <c r="O92" s="804"/>
      <c r="P92" s="160">
        <f t="shared" si="1"/>
        <v>0</v>
      </c>
      <c r="Q92" s="806"/>
      <c r="R92" s="806"/>
    </row>
    <row r="93" spans="1:18" ht="15" thickBot="1" x14ac:dyDescent="0.4">
      <c r="A93" s="785"/>
      <c r="B93" s="63" t="s">
        <v>796</v>
      </c>
      <c r="C93" s="148" t="s">
        <v>613</v>
      </c>
      <c r="D93" s="809"/>
      <c r="E93" s="809"/>
      <c r="F93" s="809"/>
      <c r="G93" s="809"/>
      <c r="H93" s="809"/>
      <c r="I93" s="809"/>
      <c r="J93" s="809"/>
      <c r="K93" s="809"/>
      <c r="L93" s="809"/>
      <c r="M93" s="809"/>
      <c r="N93" s="809"/>
      <c r="O93" s="809"/>
      <c r="P93" s="231">
        <f t="shared" si="1"/>
        <v>0</v>
      </c>
      <c r="Q93" s="806"/>
      <c r="R93" s="806"/>
    </row>
    <row r="94" spans="1:18" ht="18" customHeight="1" thickBot="1" x14ac:dyDescent="0.4">
      <c r="A94" s="784" t="s">
        <v>153</v>
      </c>
      <c r="B94" s="61" t="s">
        <v>791</v>
      </c>
      <c r="C94" s="147" t="s">
        <v>792</v>
      </c>
      <c r="D94" s="807"/>
      <c r="E94" s="807"/>
      <c r="F94" s="807"/>
      <c r="G94" s="807"/>
      <c r="H94" s="807"/>
      <c r="I94" s="807"/>
      <c r="J94" s="807"/>
      <c r="K94" s="807"/>
      <c r="L94" s="807"/>
      <c r="M94" s="807"/>
      <c r="N94" s="807"/>
      <c r="O94" s="807"/>
      <c r="P94" s="160">
        <f t="shared" si="1"/>
        <v>0</v>
      </c>
      <c r="Q94" s="806"/>
      <c r="R94" s="806"/>
    </row>
    <row r="95" spans="1:18" ht="15" thickBot="1" x14ac:dyDescent="0.4">
      <c r="A95" s="783"/>
      <c r="B95" s="62" t="s">
        <v>793</v>
      </c>
      <c r="C95" s="91" t="s">
        <v>554</v>
      </c>
      <c r="D95" s="804"/>
      <c r="E95" s="804"/>
      <c r="F95" s="804"/>
      <c r="G95" s="804"/>
      <c r="H95" s="804"/>
      <c r="I95" s="804"/>
      <c r="J95" s="804"/>
      <c r="K95" s="804"/>
      <c r="L95" s="804"/>
      <c r="M95" s="804"/>
      <c r="N95" s="804"/>
      <c r="O95" s="804"/>
      <c r="P95" s="160">
        <f t="shared" si="1"/>
        <v>0</v>
      </c>
      <c r="Q95" s="806"/>
      <c r="R95" s="806"/>
    </row>
    <row r="96" spans="1:18" ht="15" thickBot="1" x14ac:dyDescent="0.4">
      <c r="A96" s="783"/>
      <c r="B96" s="62" t="s">
        <v>16</v>
      </c>
      <c r="C96" s="91" t="s">
        <v>554</v>
      </c>
      <c r="D96" s="804"/>
      <c r="E96" s="804"/>
      <c r="F96" s="804"/>
      <c r="G96" s="804"/>
      <c r="H96" s="804"/>
      <c r="I96" s="804"/>
      <c r="J96" s="804"/>
      <c r="K96" s="804"/>
      <c r="L96" s="804"/>
      <c r="M96" s="804"/>
      <c r="N96" s="804"/>
      <c r="O96" s="804"/>
      <c r="P96" s="160">
        <f t="shared" si="1"/>
        <v>0</v>
      </c>
      <c r="Q96" s="806"/>
      <c r="R96" s="806"/>
    </row>
    <row r="97" spans="1:18" ht="15" thickBot="1" x14ac:dyDescent="0.4">
      <c r="A97" s="783"/>
      <c r="B97" s="62" t="s">
        <v>444</v>
      </c>
      <c r="C97" s="91" t="s">
        <v>554</v>
      </c>
      <c r="D97" s="804"/>
      <c r="E97" s="804"/>
      <c r="F97" s="804"/>
      <c r="G97" s="804"/>
      <c r="H97" s="804"/>
      <c r="I97" s="804"/>
      <c r="J97" s="804"/>
      <c r="K97" s="804"/>
      <c r="L97" s="804"/>
      <c r="M97" s="804"/>
      <c r="N97" s="804"/>
      <c r="O97" s="804"/>
      <c r="P97" s="160">
        <f t="shared" si="1"/>
        <v>0</v>
      </c>
      <c r="Q97" s="806"/>
      <c r="R97" s="806"/>
    </row>
    <row r="98" spans="1:18" ht="15.75" customHeight="1" thickBot="1" x14ac:dyDescent="0.4">
      <c r="A98" s="783"/>
      <c r="B98" s="232" t="s">
        <v>796</v>
      </c>
      <c r="C98" s="213" t="s">
        <v>613</v>
      </c>
      <c r="D98" s="812"/>
      <c r="E98" s="812"/>
      <c r="F98" s="812"/>
      <c r="G98" s="812"/>
      <c r="H98" s="812"/>
      <c r="I98" s="812"/>
      <c r="J98" s="812"/>
      <c r="K98" s="812"/>
      <c r="L98" s="812"/>
      <c r="M98" s="812"/>
      <c r="N98" s="812"/>
      <c r="O98" s="812"/>
      <c r="P98" s="216">
        <f t="shared" si="1"/>
        <v>0</v>
      </c>
      <c r="Q98" s="806"/>
      <c r="R98" s="806"/>
    </row>
    <row r="99" spans="1:18" ht="16.5" x14ac:dyDescent="0.35">
      <c r="A99" s="786" t="s">
        <v>154</v>
      </c>
      <c r="B99" s="61" t="s">
        <v>791</v>
      </c>
      <c r="C99" s="147" t="s">
        <v>792</v>
      </c>
      <c r="D99" s="807"/>
      <c r="E99" s="807"/>
      <c r="F99" s="807"/>
      <c r="G99" s="807"/>
      <c r="H99" s="807"/>
      <c r="I99" s="807"/>
      <c r="J99" s="807"/>
      <c r="K99" s="807"/>
      <c r="L99" s="807"/>
      <c r="M99" s="807"/>
      <c r="N99" s="807"/>
      <c r="O99" s="807"/>
      <c r="P99" s="233">
        <f t="shared" si="1"/>
        <v>0</v>
      </c>
      <c r="Q99" s="806"/>
      <c r="R99" s="806"/>
    </row>
    <row r="100" spans="1:18" x14ac:dyDescent="0.35">
      <c r="A100" s="787"/>
      <c r="B100" s="62" t="s">
        <v>793</v>
      </c>
      <c r="C100" s="91" t="s">
        <v>554</v>
      </c>
      <c r="D100" s="804"/>
      <c r="E100" s="804"/>
      <c r="F100" s="804"/>
      <c r="G100" s="804"/>
      <c r="H100" s="804"/>
      <c r="I100" s="804"/>
      <c r="J100" s="804"/>
      <c r="K100" s="804"/>
      <c r="L100" s="804"/>
      <c r="M100" s="804"/>
      <c r="N100" s="804"/>
      <c r="O100" s="804"/>
      <c r="P100" s="222">
        <f>SUM(D100:O100)</f>
        <v>0</v>
      </c>
      <c r="Q100" s="806"/>
      <c r="R100" s="806"/>
    </row>
    <row r="101" spans="1:18" ht="30.75" customHeight="1" x14ac:dyDescent="0.35">
      <c r="A101" s="787"/>
      <c r="B101" s="62" t="s">
        <v>16</v>
      </c>
      <c r="C101" s="91" t="s">
        <v>554</v>
      </c>
      <c r="D101" s="804"/>
      <c r="E101" s="804"/>
      <c r="F101" s="804"/>
      <c r="G101" s="804"/>
      <c r="H101" s="804"/>
      <c r="I101" s="804"/>
      <c r="J101" s="804"/>
      <c r="K101" s="804"/>
      <c r="L101" s="804"/>
      <c r="M101" s="804"/>
      <c r="N101" s="804"/>
      <c r="O101" s="804"/>
      <c r="P101" s="222">
        <f>SUM(D101:O101)</f>
        <v>0</v>
      </c>
      <c r="Q101" s="806"/>
      <c r="R101" s="806"/>
    </row>
    <row r="102" spans="1:18" x14ac:dyDescent="0.35">
      <c r="A102" s="787"/>
      <c r="B102" s="62" t="s">
        <v>444</v>
      </c>
      <c r="C102" s="91" t="s">
        <v>554</v>
      </c>
      <c r="D102" s="804"/>
      <c r="E102" s="804"/>
      <c r="F102" s="804"/>
      <c r="G102" s="804"/>
      <c r="H102" s="804"/>
      <c r="I102" s="804"/>
      <c r="J102" s="804"/>
      <c r="K102" s="804"/>
      <c r="L102" s="804"/>
      <c r="M102" s="804"/>
      <c r="N102" s="804"/>
      <c r="O102" s="804"/>
      <c r="P102" s="222">
        <f>SUM(D102:O102)</f>
        <v>0</v>
      </c>
      <c r="Q102" s="806"/>
      <c r="R102" s="806"/>
    </row>
    <row r="103" spans="1:18" ht="15" thickBot="1" x14ac:dyDescent="0.4">
      <c r="A103" s="788"/>
      <c r="B103" s="63" t="s">
        <v>796</v>
      </c>
      <c r="C103" s="148" t="s">
        <v>613</v>
      </c>
      <c r="D103" s="809"/>
      <c r="E103" s="809"/>
      <c r="F103" s="809"/>
      <c r="G103" s="809"/>
      <c r="H103" s="809"/>
      <c r="I103" s="809"/>
      <c r="J103" s="809"/>
      <c r="K103" s="809"/>
      <c r="L103" s="809"/>
      <c r="M103" s="809"/>
      <c r="N103" s="809"/>
      <c r="O103" s="809"/>
      <c r="P103" s="234">
        <f t="shared" si="1"/>
        <v>0</v>
      </c>
      <c r="Q103" s="806"/>
      <c r="R103" s="806"/>
    </row>
    <row r="104" spans="1:18" ht="18" customHeight="1" thickBot="1" x14ac:dyDescent="0.4">
      <c r="A104" s="784" t="s">
        <v>799</v>
      </c>
      <c r="B104" s="61" t="s">
        <v>791</v>
      </c>
      <c r="C104" s="147" t="s">
        <v>792</v>
      </c>
      <c r="D104" s="815"/>
      <c r="E104" s="807"/>
      <c r="F104" s="807"/>
      <c r="G104" s="807"/>
      <c r="H104" s="807"/>
      <c r="I104" s="807"/>
      <c r="J104" s="807"/>
      <c r="K104" s="807"/>
      <c r="L104" s="807"/>
      <c r="M104" s="807"/>
      <c r="N104" s="807"/>
      <c r="O104" s="807"/>
      <c r="P104" s="160">
        <f t="shared" si="1"/>
        <v>0</v>
      </c>
      <c r="Q104" s="806"/>
      <c r="R104" s="806"/>
    </row>
    <row r="105" spans="1:18" ht="15" thickBot="1" x14ac:dyDescent="0.4">
      <c r="A105" s="783"/>
      <c r="B105" s="62" t="s">
        <v>793</v>
      </c>
      <c r="C105" s="91" t="s">
        <v>554</v>
      </c>
      <c r="D105" s="816"/>
      <c r="E105" s="804"/>
      <c r="F105" s="804"/>
      <c r="G105" s="804"/>
      <c r="H105" s="804"/>
      <c r="I105" s="804"/>
      <c r="J105" s="804"/>
      <c r="K105" s="804"/>
      <c r="L105" s="804"/>
      <c r="M105" s="804"/>
      <c r="N105" s="804"/>
      <c r="O105" s="804"/>
      <c r="P105" s="160">
        <f t="shared" si="1"/>
        <v>0</v>
      </c>
      <c r="Q105" s="806"/>
      <c r="R105" s="806"/>
    </row>
    <row r="106" spans="1:18" ht="15" thickBot="1" x14ac:dyDescent="0.4">
      <c r="A106" s="783"/>
      <c r="B106" s="62" t="s">
        <v>16</v>
      </c>
      <c r="C106" s="91" t="s">
        <v>554</v>
      </c>
      <c r="D106" s="816"/>
      <c r="E106" s="804"/>
      <c r="F106" s="804"/>
      <c r="G106" s="804"/>
      <c r="H106" s="804"/>
      <c r="I106" s="804"/>
      <c r="J106" s="804"/>
      <c r="K106" s="804"/>
      <c r="L106" s="804"/>
      <c r="M106" s="804"/>
      <c r="N106" s="804"/>
      <c r="O106" s="804"/>
      <c r="P106" s="160">
        <f t="shared" si="1"/>
        <v>0</v>
      </c>
      <c r="Q106" s="806"/>
      <c r="R106" s="806"/>
    </row>
    <row r="107" spans="1:18" ht="15" thickBot="1" x14ac:dyDescent="0.4">
      <c r="A107" s="783"/>
      <c r="B107" s="62" t="s">
        <v>444</v>
      </c>
      <c r="C107" s="91" t="s">
        <v>554</v>
      </c>
      <c r="D107" s="816"/>
      <c r="E107" s="804"/>
      <c r="F107" s="804"/>
      <c r="G107" s="804"/>
      <c r="H107" s="804"/>
      <c r="I107" s="804"/>
      <c r="J107" s="804"/>
      <c r="K107" s="804"/>
      <c r="L107" s="804"/>
      <c r="M107" s="804"/>
      <c r="N107" s="804"/>
      <c r="O107" s="804"/>
      <c r="P107" s="160">
        <f t="shared" si="1"/>
        <v>0</v>
      </c>
      <c r="Q107" s="806"/>
      <c r="R107" s="806"/>
    </row>
    <row r="108" spans="1:18" ht="15" thickBot="1" x14ac:dyDescent="0.4">
      <c r="A108" s="785"/>
      <c r="B108" s="63" t="s">
        <v>796</v>
      </c>
      <c r="C108" s="148"/>
      <c r="D108" s="817"/>
      <c r="E108" s="809"/>
      <c r="F108" s="809"/>
      <c r="G108" s="809"/>
      <c r="H108" s="809"/>
      <c r="I108" s="809"/>
      <c r="J108" s="809"/>
      <c r="K108" s="809"/>
      <c r="L108" s="809"/>
      <c r="M108" s="809"/>
      <c r="N108" s="809"/>
      <c r="O108" s="809"/>
      <c r="P108" s="231">
        <f t="shared" si="1"/>
        <v>0</v>
      </c>
      <c r="Q108" s="806"/>
      <c r="R108" s="806"/>
    </row>
    <row r="109" spans="1:18" ht="18" customHeight="1" thickBot="1" x14ac:dyDescent="0.4">
      <c r="A109" s="784" t="s">
        <v>156</v>
      </c>
      <c r="B109" s="61" t="s">
        <v>791</v>
      </c>
      <c r="C109" s="147" t="s">
        <v>792</v>
      </c>
      <c r="D109" s="815"/>
      <c r="E109" s="807"/>
      <c r="F109" s="807"/>
      <c r="G109" s="807"/>
      <c r="H109" s="807"/>
      <c r="I109" s="807"/>
      <c r="J109" s="807"/>
      <c r="K109" s="807"/>
      <c r="L109" s="807"/>
      <c r="M109" s="807"/>
      <c r="N109" s="807"/>
      <c r="O109" s="807"/>
      <c r="P109" s="160">
        <f t="shared" si="1"/>
        <v>0</v>
      </c>
      <c r="Q109" s="806"/>
      <c r="R109" s="806"/>
    </row>
    <row r="110" spans="1:18" ht="15" thickBot="1" x14ac:dyDescent="0.4">
      <c r="A110" s="783"/>
      <c r="B110" s="62" t="s">
        <v>793</v>
      </c>
      <c r="C110" s="91" t="s">
        <v>554</v>
      </c>
      <c r="D110" s="816"/>
      <c r="E110" s="804"/>
      <c r="F110" s="804"/>
      <c r="G110" s="804"/>
      <c r="H110" s="804"/>
      <c r="I110" s="804"/>
      <c r="J110" s="804"/>
      <c r="K110" s="804"/>
      <c r="L110" s="804"/>
      <c r="M110" s="804"/>
      <c r="N110" s="804"/>
      <c r="O110" s="804"/>
      <c r="P110" s="160">
        <f t="shared" si="1"/>
        <v>0</v>
      </c>
      <c r="Q110" s="806"/>
      <c r="R110" s="806"/>
    </row>
    <row r="111" spans="1:18" ht="15" thickBot="1" x14ac:dyDescent="0.4">
      <c r="A111" s="783"/>
      <c r="B111" s="62" t="s">
        <v>16</v>
      </c>
      <c r="C111" s="91" t="s">
        <v>554</v>
      </c>
      <c r="D111" s="816"/>
      <c r="E111" s="804"/>
      <c r="F111" s="804"/>
      <c r="G111" s="804"/>
      <c r="H111" s="804"/>
      <c r="I111" s="804"/>
      <c r="J111" s="804"/>
      <c r="K111" s="804"/>
      <c r="L111" s="804"/>
      <c r="M111" s="804"/>
      <c r="N111" s="804"/>
      <c r="O111" s="804"/>
      <c r="P111" s="160">
        <f t="shared" si="1"/>
        <v>0</v>
      </c>
      <c r="Q111" s="806"/>
      <c r="R111" s="806"/>
    </row>
    <row r="112" spans="1:18" ht="15" thickBot="1" x14ac:dyDescent="0.4">
      <c r="A112" s="783"/>
      <c r="B112" s="62" t="s">
        <v>444</v>
      </c>
      <c r="C112" s="91" t="s">
        <v>554</v>
      </c>
      <c r="D112" s="816"/>
      <c r="E112" s="804"/>
      <c r="F112" s="804"/>
      <c r="G112" s="804"/>
      <c r="H112" s="804"/>
      <c r="I112" s="804"/>
      <c r="J112" s="804"/>
      <c r="K112" s="804"/>
      <c r="L112" s="804"/>
      <c r="M112" s="804"/>
      <c r="N112" s="804"/>
      <c r="O112" s="804"/>
      <c r="P112" s="160">
        <f t="shared" si="1"/>
        <v>0</v>
      </c>
      <c r="Q112" s="806"/>
      <c r="R112" s="806"/>
    </row>
    <row r="113" spans="1:18" ht="15" thickBot="1" x14ac:dyDescent="0.4">
      <c r="A113" s="783"/>
      <c r="B113" s="232" t="s">
        <v>796</v>
      </c>
      <c r="C113" s="213" t="s">
        <v>613</v>
      </c>
      <c r="D113" s="818"/>
      <c r="E113" s="812"/>
      <c r="F113" s="812"/>
      <c r="G113" s="812"/>
      <c r="H113" s="812"/>
      <c r="I113" s="812"/>
      <c r="J113" s="812"/>
      <c r="K113" s="812"/>
      <c r="L113" s="812"/>
      <c r="M113" s="812"/>
      <c r="N113" s="812"/>
      <c r="O113" s="812"/>
      <c r="P113" s="216">
        <f t="shared" si="1"/>
        <v>0</v>
      </c>
      <c r="Q113" s="806"/>
      <c r="R113" s="806"/>
    </row>
    <row r="114" spans="1:18" ht="18" customHeight="1" thickBot="1" x14ac:dyDescent="0.4">
      <c r="A114" s="784" t="s">
        <v>157</v>
      </c>
      <c r="B114" s="61" t="s">
        <v>791</v>
      </c>
      <c r="C114" s="147" t="s">
        <v>792</v>
      </c>
      <c r="D114" s="807"/>
      <c r="E114" s="807"/>
      <c r="F114" s="807"/>
      <c r="G114" s="807"/>
      <c r="H114" s="807"/>
      <c r="I114" s="807"/>
      <c r="J114" s="807"/>
      <c r="K114" s="807"/>
      <c r="L114" s="807"/>
      <c r="M114" s="807"/>
      <c r="N114" s="807"/>
      <c r="O114" s="807"/>
      <c r="P114" s="160">
        <f t="shared" si="1"/>
        <v>0</v>
      </c>
      <c r="Q114" s="806"/>
      <c r="R114" s="806"/>
    </row>
    <row r="115" spans="1:18" ht="15" thickBot="1" x14ac:dyDescent="0.4">
      <c r="A115" s="783"/>
      <c r="B115" s="62" t="s">
        <v>793</v>
      </c>
      <c r="C115" s="91" t="s">
        <v>554</v>
      </c>
      <c r="D115" s="804"/>
      <c r="E115" s="804"/>
      <c r="F115" s="804"/>
      <c r="G115" s="804"/>
      <c r="H115" s="804"/>
      <c r="I115" s="804"/>
      <c r="J115" s="804"/>
      <c r="K115" s="804"/>
      <c r="L115" s="804"/>
      <c r="M115" s="804"/>
      <c r="N115" s="804"/>
      <c r="O115" s="804"/>
      <c r="P115" s="160">
        <f t="shared" si="1"/>
        <v>0</v>
      </c>
      <c r="Q115" s="806"/>
      <c r="R115" s="806"/>
    </row>
    <row r="116" spans="1:18" ht="15" thickBot="1" x14ac:dyDescent="0.4">
      <c r="A116" s="783"/>
      <c r="B116" s="62" t="s">
        <v>16</v>
      </c>
      <c r="C116" s="91" t="s">
        <v>554</v>
      </c>
      <c r="D116" s="804"/>
      <c r="E116" s="804"/>
      <c r="F116" s="804"/>
      <c r="G116" s="804"/>
      <c r="H116" s="804"/>
      <c r="I116" s="804"/>
      <c r="J116" s="804"/>
      <c r="K116" s="804"/>
      <c r="L116" s="804"/>
      <c r="M116" s="804"/>
      <c r="N116" s="804"/>
      <c r="O116" s="804"/>
      <c r="P116" s="160">
        <f t="shared" si="1"/>
        <v>0</v>
      </c>
      <c r="Q116" s="806"/>
      <c r="R116" s="806"/>
    </row>
    <row r="117" spans="1:18" ht="15" thickBot="1" x14ac:dyDescent="0.4">
      <c r="A117" s="783"/>
      <c r="B117" s="62" t="s">
        <v>444</v>
      </c>
      <c r="C117" s="91" t="s">
        <v>554</v>
      </c>
      <c r="D117" s="804"/>
      <c r="E117" s="804"/>
      <c r="F117" s="804"/>
      <c r="G117" s="804"/>
      <c r="H117" s="804"/>
      <c r="I117" s="804"/>
      <c r="J117" s="804"/>
      <c r="K117" s="804"/>
      <c r="L117" s="804"/>
      <c r="M117" s="804"/>
      <c r="N117" s="804"/>
      <c r="O117" s="804"/>
      <c r="P117" s="160">
        <f t="shared" si="1"/>
        <v>0</v>
      </c>
      <c r="Q117" s="806"/>
      <c r="R117" s="806"/>
    </row>
    <row r="118" spans="1:18" ht="15" thickBot="1" x14ac:dyDescent="0.4">
      <c r="A118" s="785"/>
      <c r="B118" s="63" t="s">
        <v>796</v>
      </c>
      <c r="C118" s="148" t="s">
        <v>613</v>
      </c>
      <c r="D118" s="809"/>
      <c r="E118" s="809"/>
      <c r="F118" s="809"/>
      <c r="G118" s="809"/>
      <c r="H118" s="809"/>
      <c r="I118" s="809"/>
      <c r="J118" s="809"/>
      <c r="K118" s="809"/>
      <c r="L118" s="809"/>
      <c r="M118" s="809"/>
      <c r="N118" s="809"/>
      <c r="O118" s="809"/>
      <c r="P118" s="231">
        <f t="shared" si="1"/>
        <v>0</v>
      </c>
      <c r="Q118" s="806"/>
      <c r="R118" s="806"/>
    </row>
    <row r="119" spans="1:18" ht="17" thickBot="1" x14ac:dyDescent="0.4">
      <c r="A119" s="784" t="s">
        <v>158</v>
      </c>
      <c r="B119" s="61" t="s">
        <v>791</v>
      </c>
      <c r="C119" s="147" t="s">
        <v>792</v>
      </c>
      <c r="D119" s="807"/>
      <c r="E119" s="807"/>
      <c r="F119" s="807"/>
      <c r="G119" s="807"/>
      <c r="H119" s="807"/>
      <c r="I119" s="807"/>
      <c r="J119" s="807"/>
      <c r="K119" s="807"/>
      <c r="L119" s="807"/>
      <c r="M119" s="807"/>
      <c r="N119" s="807"/>
      <c r="O119" s="807"/>
      <c r="P119" s="160">
        <f t="shared" si="1"/>
        <v>0</v>
      </c>
      <c r="Q119" s="806"/>
      <c r="R119" s="806"/>
    </row>
    <row r="120" spans="1:18" ht="15" thickBot="1" x14ac:dyDescent="0.4">
      <c r="A120" s="783"/>
      <c r="B120" s="62" t="s">
        <v>793</v>
      </c>
      <c r="C120" s="91" t="s">
        <v>554</v>
      </c>
      <c r="D120" s="804"/>
      <c r="E120" s="804"/>
      <c r="F120" s="804"/>
      <c r="G120" s="804"/>
      <c r="H120" s="804"/>
      <c r="I120" s="804"/>
      <c r="J120" s="804"/>
      <c r="K120" s="804"/>
      <c r="L120" s="804"/>
      <c r="M120" s="804"/>
      <c r="N120" s="804"/>
      <c r="O120" s="804"/>
      <c r="P120" s="160">
        <f t="shared" si="1"/>
        <v>0</v>
      </c>
      <c r="Q120" s="806"/>
      <c r="R120" s="806"/>
    </row>
    <row r="121" spans="1:18" ht="15" thickBot="1" x14ac:dyDescent="0.4">
      <c r="A121" s="783"/>
      <c r="B121" s="62" t="s">
        <v>16</v>
      </c>
      <c r="C121" s="91" t="s">
        <v>554</v>
      </c>
      <c r="D121" s="804"/>
      <c r="E121" s="804"/>
      <c r="F121" s="804"/>
      <c r="G121" s="804"/>
      <c r="H121" s="804"/>
      <c r="I121" s="804"/>
      <c r="J121" s="804"/>
      <c r="K121" s="804"/>
      <c r="L121" s="804"/>
      <c r="M121" s="804"/>
      <c r="N121" s="804"/>
      <c r="O121" s="804"/>
      <c r="P121" s="160">
        <f t="shared" si="1"/>
        <v>0</v>
      </c>
      <c r="Q121" s="806"/>
      <c r="R121" s="806"/>
    </row>
    <row r="122" spans="1:18" ht="15" thickBot="1" x14ac:dyDescent="0.4">
      <c r="A122" s="783"/>
      <c r="B122" s="62" t="s">
        <v>444</v>
      </c>
      <c r="C122" s="91" t="s">
        <v>554</v>
      </c>
      <c r="D122" s="804"/>
      <c r="E122" s="804"/>
      <c r="F122" s="804"/>
      <c r="G122" s="804"/>
      <c r="H122" s="804"/>
      <c r="I122" s="804"/>
      <c r="J122" s="804"/>
      <c r="K122" s="804"/>
      <c r="L122" s="804"/>
      <c r="M122" s="804"/>
      <c r="N122" s="804"/>
      <c r="O122" s="804"/>
      <c r="P122" s="160">
        <f t="shared" si="1"/>
        <v>0</v>
      </c>
      <c r="Q122" s="806"/>
      <c r="R122" s="806"/>
    </row>
    <row r="123" spans="1:18" ht="15" thickBot="1" x14ac:dyDescent="0.4">
      <c r="A123" s="785"/>
      <c r="B123" s="63" t="s">
        <v>796</v>
      </c>
      <c r="C123" s="148" t="s">
        <v>613</v>
      </c>
      <c r="D123" s="809"/>
      <c r="E123" s="809"/>
      <c r="F123" s="809"/>
      <c r="G123" s="809"/>
      <c r="H123" s="809"/>
      <c r="I123" s="809"/>
      <c r="J123" s="809"/>
      <c r="K123" s="809"/>
      <c r="L123" s="809"/>
      <c r="M123" s="809"/>
      <c r="N123" s="809"/>
      <c r="O123" s="809"/>
      <c r="P123" s="231">
        <f t="shared" si="1"/>
        <v>0</v>
      </c>
      <c r="Q123" s="806"/>
      <c r="R123" s="806"/>
    </row>
    <row r="124" spans="1:18" ht="18" customHeight="1" thickBot="1" x14ac:dyDescent="0.4">
      <c r="A124" s="783" t="s">
        <v>159</v>
      </c>
      <c r="B124" s="229" t="s">
        <v>791</v>
      </c>
      <c r="C124" s="214" t="s">
        <v>792</v>
      </c>
      <c r="D124" s="813"/>
      <c r="E124" s="813"/>
      <c r="F124" s="813"/>
      <c r="G124" s="813"/>
      <c r="H124" s="813"/>
      <c r="I124" s="813"/>
      <c r="J124" s="813"/>
      <c r="K124" s="813"/>
      <c r="L124" s="813"/>
      <c r="M124" s="813"/>
      <c r="N124" s="813"/>
      <c r="O124" s="813"/>
      <c r="P124" s="230">
        <f t="shared" si="1"/>
        <v>0</v>
      </c>
      <c r="Q124" s="806"/>
      <c r="R124" s="806"/>
    </row>
    <row r="125" spans="1:18" ht="15" thickBot="1" x14ac:dyDescent="0.4">
      <c r="A125" s="783"/>
      <c r="B125" s="62" t="s">
        <v>793</v>
      </c>
      <c r="C125" s="91" t="s">
        <v>554</v>
      </c>
      <c r="D125" s="804"/>
      <c r="E125" s="804"/>
      <c r="F125" s="804"/>
      <c r="G125" s="804"/>
      <c r="H125" s="804"/>
      <c r="I125" s="804"/>
      <c r="J125" s="804"/>
      <c r="K125" s="804"/>
      <c r="L125" s="804"/>
      <c r="M125" s="804"/>
      <c r="N125" s="804"/>
      <c r="O125" s="804"/>
      <c r="P125" s="160">
        <f t="shared" si="1"/>
        <v>0</v>
      </c>
      <c r="Q125" s="806"/>
      <c r="R125" s="806"/>
    </row>
    <row r="126" spans="1:18" ht="15" thickBot="1" x14ac:dyDescent="0.4">
      <c r="A126" s="783"/>
      <c r="B126" s="62" t="s">
        <v>16</v>
      </c>
      <c r="C126" s="91" t="s">
        <v>554</v>
      </c>
      <c r="D126" s="804"/>
      <c r="E126" s="804"/>
      <c r="F126" s="804"/>
      <c r="G126" s="804"/>
      <c r="H126" s="804"/>
      <c r="I126" s="804"/>
      <c r="J126" s="804"/>
      <c r="K126" s="804"/>
      <c r="L126" s="804"/>
      <c r="M126" s="804"/>
      <c r="N126" s="804"/>
      <c r="O126" s="804"/>
      <c r="P126" s="160">
        <f t="shared" si="1"/>
        <v>0</v>
      </c>
      <c r="Q126" s="806"/>
      <c r="R126" s="806"/>
    </row>
    <row r="127" spans="1:18" ht="15" thickBot="1" x14ac:dyDescent="0.4">
      <c r="A127" s="783"/>
      <c r="B127" s="62" t="s">
        <v>444</v>
      </c>
      <c r="C127" s="91" t="s">
        <v>554</v>
      </c>
      <c r="D127" s="804"/>
      <c r="E127" s="804"/>
      <c r="F127" s="804"/>
      <c r="G127" s="804"/>
      <c r="H127" s="804"/>
      <c r="I127" s="804"/>
      <c r="J127" s="804"/>
      <c r="K127" s="804"/>
      <c r="L127" s="804"/>
      <c r="M127" s="804"/>
      <c r="N127" s="804"/>
      <c r="O127" s="804"/>
      <c r="P127" s="160">
        <f t="shared" si="1"/>
        <v>0</v>
      </c>
      <c r="Q127" s="806"/>
      <c r="R127" s="806"/>
    </row>
    <row r="128" spans="1:18" ht="15" thickBot="1" x14ac:dyDescent="0.4">
      <c r="A128" s="783"/>
      <c r="B128" s="232" t="s">
        <v>796</v>
      </c>
      <c r="C128" s="213" t="s">
        <v>613</v>
      </c>
      <c r="D128" s="812"/>
      <c r="E128" s="812"/>
      <c r="F128" s="812"/>
      <c r="G128" s="812"/>
      <c r="H128" s="812"/>
      <c r="I128" s="812"/>
      <c r="J128" s="812"/>
      <c r="K128" s="812"/>
      <c r="L128" s="812"/>
      <c r="M128" s="812"/>
      <c r="N128" s="812"/>
      <c r="O128" s="812"/>
      <c r="P128" s="216">
        <f t="shared" si="1"/>
        <v>0</v>
      </c>
      <c r="Q128" s="806"/>
      <c r="R128" s="806"/>
    </row>
    <row r="129" spans="1:18" ht="18" customHeight="1" x14ac:dyDescent="0.35">
      <c r="A129" s="786" t="s">
        <v>160</v>
      </c>
      <c r="B129" s="61" t="s">
        <v>791</v>
      </c>
      <c r="C129" s="147" t="s">
        <v>792</v>
      </c>
      <c r="D129" s="807"/>
      <c r="E129" s="807"/>
      <c r="F129" s="807"/>
      <c r="G129" s="807"/>
      <c r="H129" s="807"/>
      <c r="I129" s="807"/>
      <c r="J129" s="807"/>
      <c r="K129" s="807"/>
      <c r="L129" s="807"/>
      <c r="M129" s="807"/>
      <c r="N129" s="807"/>
      <c r="O129" s="807"/>
      <c r="P129" s="233">
        <f t="shared" si="1"/>
        <v>0</v>
      </c>
      <c r="Q129" s="806"/>
      <c r="R129" s="806"/>
    </row>
    <row r="130" spans="1:18" x14ac:dyDescent="0.35">
      <c r="A130" s="787"/>
      <c r="B130" s="62" t="s">
        <v>793</v>
      </c>
      <c r="C130" s="91" t="s">
        <v>554</v>
      </c>
      <c r="D130" s="804"/>
      <c r="E130" s="804"/>
      <c r="F130" s="804"/>
      <c r="G130" s="804"/>
      <c r="H130" s="804"/>
      <c r="I130" s="804"/>
      <c r="J130" s="804"/>
      <c r="K130" s="804"/>
      <c r="L130" s="804"/>
      <c r="M130" s="804"/>
      <c r="N130" s="804"/>
      <c r="O130" s="804"/>
      <c r="P130" s="222">
        <f t="shared" si="1"/>
        <v>0</v>
      </c>
      <c r="Q130" s="806"/>
      <c r="R130" s="806"/>
    </row>
    <row r="131" spans="1:18" x14ac:dyDescent="0.35">
      <c r="A131" s="787"/>
      <c r="B131" s="62" t="s">
        <v>16</v>
      </c>
      <c r="C131" s="91" t="s">
        <v>554</v>
      </c>
      <c r="D131" s="804"/>
      <c r="E131" s="804"/>
      <c r="F131" s="804"/>
      <c r="G131" s="804"/>
      <c r="H131" s="804"/>
      <c r="I131" s="804"/>
      <c r="J131" s="804"/>
      <c r="K131" s="804"/>
      <c r="L131" s="804"/>
      <c r="M131" s="804"/>
      <c r="N131" s="804"/>
      <c r="O131" s="804"/>
      <c r="P131" s="222">
        <f t="shared" si="1"/>
        <v>0</v>
      </c>
      <c r="Q131" s="806"/>
      <c r="R131" s="806"/>
    </row>
    <row r="132" spans="1:18" x14ac:dyDescent="0.35">
      <c r="A132" s="787"/>
      <c r="B132" s="62" t="s">
        <v>444</v>
      </c>
      <c r="C132" s="816" t="s">
        <v>554</v>
      </c>
      <c r="D132" s="804"/>
      <c r="E132" s="804"/>
      <c r="F132" s="804"/>
      <c r="G132" s="804"/>
      <c r="H132" s="804"/>
      <c r="I132" s="804"/>
      <c r="J132" s="804"/>
      <c r="K132" s="804"/>
      <c r="L132" s="804"/>
      <c r="M132" s="804"/>
      <c r="N132" s="804"/>
      <c r="O132" s="804"/>
      <c r="P132" s="222">
        <f t="shared" si="1"/>
        <v>0</v>
      </c>
      <c r="Q132" s="806"/>
      <c r="R132" s="806"/>
    </row>
    <row r="133" spans="1:18" ht="15" thickBot="1" x14ac:dyDescent="0.4">
      <c r="A133" s="788"/>
      <c r="B133" s="63" t="s">
        <v>796</v>
      </c>
      <c r="C133" s="148" t="s">
        <v>613</v>
      </c>
      <c r="D133" s="809"/>
      <c r="E133" s="809"/>
      <c r="F133" s="809"/>
      <c r="G133" s="809"/>
      <c r="H133" s="809"/>
      <c r="I133" s="809"/>
      <c r="J133" s="809"/>
      <c r="K133" s="809"/>
      <c r="L133" s="809"/>
      <c r="M133" s="809"/>
      <c r="N133" s="809"/>
      <c r="O133" s="809"/>
      <c r="P133" s="234">
        <f t="shared" ref="P133:P148" si="2">SUM(D133:O133)</f>
        <v>0</v>
      </c>
      <c r="Q133" s="806"/>
      <c r="R133" s="806"/>
    </row>
    <row r="134" spans="1:18" ht="18" customHeight="1" thickBot="1" x14ac:dyDescent="0.4">
      <c r="A134" s="784" t="s">
        <v>161</v>
      </c>
      <c r="B134" s="61" t="s">
        <v>791</v>
      </c>
      <c r="C134" s="147" t="s">
        <v>792</v>
      </c>
      <c r="D134" s="807"/>
      <c r="E134" s="807"/>
      <c r="F134" s="807"/>
      <c r="G134" s="807"/>
      <c r="H134" s="807"/>
      <c r="I134" s="807"/>
      <c r="J134" s="807"/>
      <c r="K134" s="807"/>
      <c r="L134" s="807"/>
      <c r="M134" s="807"/>
      <c r="N134" s="807"/>
      <c r="O134" s="807"/>
      <c r="P134" s="160">
        <f t="shared" si="2"/>
        <v>0</v>
      </c>
      <c r="Q134" s="806"/>
      <c r="R134" s="806"/>
    </row>
    <row r="135" spans="1:18" ht="15" thickBot="1" x14ac:dyDescent="0.4">
      <c r="A135" s="783"/>
      <c r="B135" s="62" t="s">
        <v>793</v>
      </c>
      <c r="C135" s="91" t="s">
        <v>554</v>
      </c>
      <c r="D135" s="804"/>
      <c r="E135" s="804"/>
      <c r="F135" s="804"/>
      <c r="G135" s="804"/>
      <c r="H135" s="804"/>
      <c r="I135" s="804"/>
      <c r="J135" s="804"/>
      <c r="K135" s="804"/>
      <c r="L135" s="804"/>
      <c r="M135" s="804"/>
      <c r="N135" s="804"/>
      <c r="O135" s="804"/>
      <c r="P135" s="160">
        <f t="shared" si="2"/>
        <v>0</v>
      </c>
      <c r="Q135" s="806"/>
      <c r="R135" s="806"/>
    </row>
    <row r="136" spans="1:18" ht="15" thickBot="1" x14ac:dyDescent="0.4">
      <c r="A136" s="783"/>
      <c r="B136" s="62" t="s">
        <v>16</v>
      </c>
      <c r="C136" s="91" t="s">
        <v>554</v>
      </c>
      <c r="D136" s="804"/>
      <c r="E136" s="804"/>
      <c r="F136" s="804"/>
      <c r="G136" s="804"/>
      <c r="H136" s="804"/>
      <c r="I136" s="804"/>
      <c r="J136" s="804"/>
      <c r="K136" s="804"/>
      <c r="L136" s="804"/>
      <c r="M136" s="804"/>
      <c r="N136" s="804"/>
      <c r="O136" s="804"/>
      <c r="P136" s="160">
        <f t="shared" si="2"/>
        <v>0</v>
      </c>
      <c r="Q136" s="806"/>
      <c r="R136" s="806"/>
    </row>
    <row r="137" spans="1:18" ht="15" thickBot="1" x14ac:dyDescent="0.4">
      <c r="A137" s="783"/>
      <c r="B137" s="62" t="s">
        <v>444</v>
      </c>
      <c r="C137" s="91" t="s">
        <v>554</v>
      </c>
      <c r="D137" s="804"/>
      <c r="E137" s="804"/>
      <c r="F137" s="804"/>
      <c r="G137" s="804"/>
      <c r="H137" s="804"/>
      <c r="I137" s="804"/>
      <c r="J137" s="804"/>
      <c r="K137" s="804"/>
      <c r="L137" s="804"/>
      <c r="M137" s="804"/>
      <c r="N137" s="804"/>
      <c r="O137" s="804"/>
      <c r="P137" s="160">
        <f t="shared" si="2"/>
        <v>0</v>
      </c>
      <c r="Q137" s="806"/>
      <c r="R137" s="806"/>
    </row>
    <row r="138" spans="1:18" ht="15" thickBot="1" x14ac:dyDescent="0.4">
      <c r="A138" s="785"/>
      <c r="B138" s="63" t="s">
        <v>796</v>
      </c>
      <c r="C138" s="148" t="s">
        <v>613</v>
      </c>
      <c r="D138" s="809"/>
      <c r="E138" s="809"/>
      <c r="F138" s="809"/>
      <c r="G138" s="809"/>
      <c r="H138" s="809"/>
      <c r="I138" s="809"/>
      <c r="J138" s="809"/>
      <c r="K138" s="809"/>
      <c r="L138" s="809"/>
      <c r="M138" s="809"/>
      <c r="N138" s="809"/>
      <c r="O138" s="809"/>
      <c r="P138" s="231">
        <f t="shared" si="2"/>
        <v>0</v>
      </c>
      <c r="Q138" s="806"/>
      <c r="R138" s="806"/>
    </row>
    <row r="139" spans="1:18" ht="18" customHeight="1" thickBot="1" x14ac:dyDescent="0.4">
      <c r="A139" s="784" t="s">
        <v>162</v>
      </c>
      <c r="B139" s="61" t="s">
        <v>791</v>
      </c>
      <c r="C139" s="147" t="s">
        <v>792</v>
      </c>
      <c r="D139" s="815"/>
      <c r="E139" s="815"/>
      <c r="F139" s="815"/>
      <c r="G139" s="815"/>
      <c r="H139" s="815"/>
      <c r="I139" s="815"/>
      <c r="J139" s="815"/>
      <c r="K139" s="815"/>
      <c r="L139" s="815"/>
      <c r="M139" s="815"/>
      <c r="N139" s="815"/>
      <c r="O139" s="815"/>
      <c r="P139" s="160">
        <f t="shared" si="2"/>
        <v>0</v>
      </c>
      <c r="Q139" s="806"/>
      <c r="R139" s="806"/>
    </row>
    <row r="140" spans="1:18" ht="15" thickBot="1" x14ac:dyDescent="0.4">
      <c r="A140" s="783"/>
      <c r="B140" s="62" t="s">
        <v>793</v>
      </c>
      <c r="C140" s="91" t="s">
        <v>554</v>
      </c>
      <c r="D140" s="816"/>
      <c r="E140" s="816"/>
      <c r="F140" s="816"/>
      <c r="G140" s="816"/>
      <c r="H140" s="816"/>
      <c r="I140" s="816"/>
      <c r="J140" s="816"/>
      <c r="K140" s="816"/>
      <c r="L140" s="816"/>
      <c r="M140" s="816"/>
      <c r="N140" s="816"/>
      <c r="O140" s="816"/>
      <c r="P140" s="160">
        <f t="shared" si="2"/>
        <v>0</v>
      </c>
      <c r="Q140" s="806"/>
      <c r="R140" s="806"/>
    </row>
    <row r="141" spans="1:18" ht="15" thickBot="1" x14ac:dyDescent="0.4">
      <c r="A141" s="783"/>
      <c r="B141" s="62" t="s">
        <v>16</v>
      </c>
      <c r="C141" s="91" t="s">
        <v>554</v>
      </c>
      <c r="D141" s="816"/>
      <c r="E141" s="816"/>
      <c r="F141" s="816"/>
      <c r="G141" s="816"/>
      <c r="H141" s="816"/>
      <c r="I141" s="816"/>
      <c r="J141" s="816"/>
      <c r="K141" s="816"/>
      <c r="L141" s="816"/>
      <c r="M141" s="816"/>
      <c r="N141" s="816"/>
      <c r="O141" s="816"/>
      <c r="P141" s="160">
        <f t="shared" si="2"/>
        <v>0</v>
      </c>
      <c r="Q141" s="806"/>
      <c r="R141" s="806"/>
    </row>
    <row r="142" spans="1:18" ht="15" thickBot="1" x14ac:dyDescent="0.4">
      <c r="A142" s="783"/>
      <c r="B142" s="62" t="s">
        <v>444</v>
      </c>
      <c r="C142" s="91" t="s">
        <v>554</v>
      </c>
      <c r="D142" s="816"/>
      <c r="E142" s="816"/>
      <c r="F142" s="816"/>
      <c r="G142" s="816"/>
      <c r="H142" s="816"/>
      <c r="I142" s="816"/>
      <c r="J142" s="816"/>
      <c r="K142" s="816"/>
      <c r="L142" s="816"/>
      <c r="M142" s="816"/>
      <c r="N142" s="816"/>
      <c r="O142" s="816"/>
      <c r="P142" s="160">
        <f t="shared" si="2"/>
        <v>0</v>
      </c>
      <c r="Q142" s="806"/>
      <c r="R142" s="806"/>
    </row>
    <row r="143" spans="1:18" ht="15" thickBot="1" x14ac:dyDescent="0.4">
      <c r="A143" s="785"/>
      <c r="B143" s="63" t="s">
        <v>796</v>
      </c>
      <c r="C143" s="148" t="s">
        <v>613</v>
      </c>
      <c r="D143" s="817"/>
      <c r="E143" s="817"/>
      <c r="F143" s="817"/>
      <c r="G143" s="817"/>
      <c r="H143" s="817"/>
      <c r="I143" s="817"/>
      <c r="J143" s="817"/>
      <c r="K143" s="817"/>
      <c r="L143" s="817"/>
      <c r="M143" s="817"/>
      <c r="N143" s="817"/>
      <c r="O143" s="817"/>
      <c r="P143" s="231">
        <f t="shared" si="2"/>
        <v>0</v>
      </c>
      <c r="Q143" s="806"/>
      <c r="R143" s="806"/>
    </row>
    <row r="144" spans="1:18" ht="18" customHeight="1" thickBot="1" x14ac:dyDescent="0.4">
      <c r="A144" s="784" t="s">
        <v>163</v>
      </c>
      <c r="B144" s="61" t="s">
        <v>791</v>
      </c>
      <c r="C144" s="147" t="s">
        <v>792</v>
      </c>
      <c r="D144" s="815"/>
      <c r="E144" s="815"/>
      <c r="F144" s="815"/>
      <c r="G144" s="815"/>
      <c r="H144" s="815"/>
      <c r="I144" s="815"/>
      <c r="J144" s="815"/>
      <c r="K144" s="815"/>
      <c r="L144" s="815"/>
      <c r="M144" s="815"/>
      <c r="N144" s="815"/>
      <c r="O144" s="815"/>
      <c r="P144" s="160">
        <f t="shared" si="2"/>
        <v>0</v>
      </c>
      <c r="Q144" s="806"/>
      <c r="R144" s="806"/>
    </row>
    <row r="145" spans="1:18" ht="15" thickBot="1" x14ac:dyDescent="0.4">
      <c r="A145" s="783"/>
      <c r="B145" s="62" t="s">
        <v>793</v>
      </c>
      <c r="C145" s="91" t="s">
        <v>554</v>
      </c>
      <c r="D145" s="816"/>
      <c r="E145" s="816"/>
      <c r="F145" s="816"/>
      <c r="G145" s="816"/>
      <c r="H145" s="816"/>
      <c r="I145" s="816"/>
      <c r="J145" s="816"/>
      <c r="K145" s="816"/>
      <c r="L145" s="816"/>
      <c r="M145" s="816"/>
      <c r="N145" s="816"/>
      <c r="O145" s="816"/>
      <c r="P145" s="160">
        <f t="shared" si="2"/>
        <v>0</v>
      </c>
      <c r="Q145" s="806"/>
      <c r="R145" s="806"/>
    </row>
    <row r="146" spans="1:18" ht="15" thickBot="1" x14ac:dyDescent="0.4">
      <c r="A146" s="783"/>
      <c r="B146" s="62" t="s">
        <v>16</v>
      </c>
      <c r="C146" s="91" t="s">
        <v>554</v>
      </c>
      <c r="D146" s="816"/>
      <c r="E146" s="816"/>
      <c r="F146" s="816"/>
      <c r="G146" s="816"/>
      <c r="H146" s="816"/>
      <c r="I146" s="816"/>
      <c r="J146" s="816"/>
      <c r="K146" s="816"/>
      <c r="L146" s="816"/>
      <c r="M146" s="816"/>
      <c r="N146" s="816"/>
      <c r="O146" s="816"/>
      <c r="P146" s="160">
        <f t="shared" si="2"/>
        <v>0</v>
      </c>
      <c r="Q146" s="806"/>
      <c r="R146" s="806"/>
    </row>
    <row r="147" spans="1:18" ht="15" thickBot="1" x14ac:dyDescent="0.4">
      <c r="A147" s="783"/>
      <c r="B147" s="62" t="s">
        <v>444</v>
      </c>
      <c r="C147" s="91" t="s">
        <v>554</v>
      </c>
      <c r="D147" s="816"/>
      <c r="E147" s="816"/>
      <c r="F147" s="816"/>
      <c r="G147" s="816"/>
      <c r="H147" s="816"/>
      <c r="I147" s="816"/>
      <c r="J147" s="816"/>
      <c r="K147" s="816"/>
      <c r="L147" s="816"/>
      <c r="M147" s="816"/>
      <c r="N147" s="816"/>
      <c r="O147" s="816"/>
      <c r="P147" s="160">
        <f t="shared" si="2"/>
        <v>0</v>
      </c>
      <c r="Q147" s="806"/>
      <c r="R147" s="806"/>
    </row>
    <row r="148" spans="1:18" ht="15" thickBot="1" x14ac:dyDescent="0.4">
      <c r="A148" s="785"/>
      <c r="B148" s="63" t="s">
        <v>796</v>
      </c>
      <c r="C148" s="148" t="s">
        <v>553</v>
      </c>
      <c r="D148" s="817"/>
      <c r="E148" s="817"/>
      <c r="F148" s="817"/>
      <c r="G148" s="817"/>
      <c r="H148" s="817"/>
      <c r="I148" s="817"/>
      <c r="J148" s="817"/>
      <c r="K148" s="817"/>
      <c r="L148" s="817"/>
      <c r="M148" s="817"/>
      <c r="N148" s="817"/>
      <c r="O148" s="817"/>
      <c r="P148" s="231">
        <f t="shared" si="2"/>
        <v>0</v>
      </c>
      <c r="Q148" s="806"/>
      <c r="R148" s="806"/>
    </row>
    <row r="149" spans="1:18" x14ac:dyDescent="0.35">
      <c r="A149" s="781" t="s">
        <v>61</v>
      </c>
      <c r="B149" s="675"/>
      <c r="C149" s="675"/>
      <c r="D149" s="675"/>
      <c r="E149" s="675"/>
      <c r="F149" s="675"/>
      <c r="G149" s="675"/>
      <c r="H149" s="675"/>
      <c r="I149" s="675"/>
      <c r="J149" s="675"/>
      <c r="K149" s="675"/>
      <c r="L149" s="675"/>
      <c r="M149" s="675"/>
      <c r="N149" s="675"/>
      <c r="O149" s="675"/>
      <c r="P149" s="782"/>
      <c r="Q149" s="170"/>
      <c r="R149" s="123"/>
    </row>
    <row r="150" spans="1:18" ht="15" thickBot="1" x14ac:dyDescent="0.4">
      <c r="A150" s="78" t="s">
        <v>800</v>
      </c>
      <c r="B150" s="59" t="s">
        <v>801</v>
      </c>
      <c r="C150" s="146" t="s">
        <v>788</v>
      </c>
      <c r="D150" s="131">
        <v>44562</v>
      </c>
      <c r="E150" s="131">
        <v>44593</v>
      </c>
      <c r="F150" s="131">
        <v>44621</v>
      </c>
      <c r="G150" s="131">
        <v>44652</v>
      </c>
      <c r="H150" s="131">
        <v>44682</v>
      </c>
      <c r="I150" s="131">
        <v>44713</v>
      </c>
      <c r="J150" s="131">
        <v>44743</v>
      </c>
      <c r="K150" s="131">
        <v>44774</v>
      </c>
      <c r="L150" s="131">
        <v>44805</v>
      </c>
      <c r="M150" s="131">
        <v>44835</v>
      </c>
      <c r="N150" s="131">
        <v>44866</v>
      </c>
      <c r="O150" s="131">
        <v>44896</v>
      </c>
      <c r="P150" s="159" t="s">
        <v>550</v>
      </c>
      <c r="Q150" s="161" t="s">
        <v>789</v>
      </c>
      <c r="R150" s="111" t="s">
        <v>790</v>
      </c>
    </row>
    <row r="151" spans="1:18" ht="15" thickBot="1" x14ac:dyDescent="0.4">
      <c r="A151" s="143" t="s">
        <v>802</v>
      </c>
      <c r="B151" s="60" t="s">
        <v>803</v>
      </c>
      <c r="C151" s="142" t="s">
        <v>554</v>
      </c>
      <c r="D151" s="149"/>
      <c r="E151" s="149"/>
      <c r="F151" s="149"/>
      <c r="G151" s="149"/>
      <c r="H151" s="149"/>
      <c r="I151" s="149"/>
      <c r="J151" s="149"/>
      <c r="K151" s="149"/>
      <c r="L151" s="149"/>
      <c r="M151" s="149"/>
      <c r="N151" s="149"/>
      <c r="O151" s="149"/>
      <c r="P151" s="550">
        <f>SUM(D151:O151)</f>
        <v>0</v>
      </c>
      <c r="Q151" s="805"/>
      <c r="R151" s="805"/>
    </row>
    <row r="152" spans="1:18" ht="96.75" customHeight="1" x14ac:dyDescent="0.35">
      <c r="A152" s="143" t="s">
        <v>802</v>
      </c>
      <c r="B152" s="215" t="s">
        <v>13</v>
      </c>
      <c r="C152" s="142" t="s">
        <v>554</v>
      </c>
      <c r="D152" s="296"/>
      <c r="E152" s="296"/>
      <c r="F152" s="296"/>
      <c r="G152" s="142"/>
      <c r="H152" s="142"/>
      <c r="I152" s="142"/>
      <c r="J152" s="142"/>
      <c r="K152" s="142"/>
      <c r="L152" s="142"/>
      <c r="M152" s="142"/>
      <c r="N152" s="142"/>
      <c r="O152" s="142"/>
      <c r="P152" s="551">
        <f>SUM(D152:O152)</f>
        <v>0</v>
      </c>
      <c r="Q152" s="805"/>
      <c r="R152" s="805"/>
    </row>
    <row r="153" spans="1:18" ht="33" customHeight="1" x14ac:dyDescent="0.35">
      <c r="A153" s="294" t="s">
        <v>804</v>
      </c>
      <c r="B153" s="295" t="s">
        <v>385</v>
      </c>
      <c r="C153" s="296" t="s">
        <v>553</v>
      </c>
      <c r="G153" s="296"/>
      <c r="H153" s="296"/>
      <c r="I153" s="296"/>
      <c r="J153" s="296"/>
      <c r="K153" s="296"/>
      <c r="L153" s="296"/>
      <c r="M153" s="296"/>
      <c r="N153" s="296"/>
      <c r="O153" s="296"/>
      <c r="P153" s="554">
        <f>Estimations_collectivité!C209</f>
        <v>3.9000000000000004</v>
      </c>
      <c r="Q153" s="244"/>
      <c r="R153" s="244"/>
    </row>
    <row r="154" spans="1:18" ht="33" customHeight="1" x14ac:dyDescent="0.35">
      <c r="A154" s="674" t="s">
        <v>79</v>
      </c>
      <c r="B154" s="674"/>
      <c r="C154" s="674"/>
      <c r="D154" s="674"/>
      <c r="E154" s="674"/>
      <c r="F154" s="674"/>
      <c r="G154" s="674"/>
      <c r="H154" s="674"/>
      <c r="I154" s="674"/>
      <c r="J154" s="674"/>
      <c r="K154" s="674"/>
      <c r="L154" s="674"/>
      <c r="M154" s="674"/>
      <c r="N154" s="674"/>
      <c r="O154" s="674"/>
      <c r="P154" s="674"/>
      <c r="Q154" s="169"/>
      <c r="R154" s="133"/>
    </row>
    <row r="155" spans="1:18" ht="33" customHeight="1" x14ac:dyDescent="0.35">
      <c r="A155" s="218" t="s">
        <v>786</v>
      </c>
      <c r="B155" s="219" t="s">
        <v>801</v>
      </c>
      <c r="C155" s="110" t="s">
        <v>788</v>
      </c>
      <c r="D155" s="220">
        <v>44562</v>
      </c>
      <c r="E155" s="220">
        <v>44593</v>
      </c>
      <c r="F155" s="220">
        <v>44621</v>
      </c>
      <c r="G155" s="220">
        <v>44652</v>
      </c>
      <c r="H155" s="220">
        <v>44682</v>
      </c>
      <c r="I155" s="220">
        <v>44713</v>
      </c>
      <c r="J155" s="220">
        <v>44743</v>
      </c>
      <c r="K155" s="220">
        <v>44774</v>
      </c>
      <c r="L155" s="220">
        <v>44805</v>
      </c>
      <c r="M155" s="220">
        <v>44835</v>
      </c>
      <c r="N155" s="220">
        <v>44866</v>
      </c>
      <c r="O155" s="220">
        <v>44896</v>
      </c>
      <c r="P155" s="144" t="s">
        <v>550</v>
      </c>
      <c r="Q155" s="221" t="s">
        <v>789</v>
      </c>
      <c r="R155" s="111" t="s">
        <v>790</v>
      </c>
    </row>
    <row r="156" spans="1:18" ht="33" customHeight="1" x14ac:dyDescent="0.35">
      <c r="A156" s="799" t="s">
        <v>805</v>
      </c>
      <c r="B156" s="12" t="s">
        <v>791</v>
      </c>
      <c r="C156" s="5" t="s">
        <v>806</v>
      </c>
      <c r="D156" s="5">
        <v>0</v>
      </c>
      <c r="E156" s="5">
        <v>0</v>
      </c>
      <c r="F156" s="5">
        <v>0</v>
      </c>
      <c r="G156" s="5">
        <v>0</v>
      </c>
      <c r="H156" s="5">
        <v>0</v>
      </c>
      <c r="I156" s="5">
        <v>0</v>
      </c>
      <c r="J156" s="5">
        <v>0</v>
      </c>
      <c r="K156" s="5">
        <v>0</v>
      </c>
      <c r="L156" s="5">
        <v>0</v>
      </c>
      <c r="M156" s="5">
        <v>0</v>
      </c>
      <c r="N156" s="5">
        <v>0</v>
      </c>
      <c r="O156" s="5">
        <v>0</v>
      </c>
      <c r="P156" s="222">
        <f>SUM(D156:O156)</f>
        <v>0</v>
      </c>
      <c r="Q156" s="11"/>
      <c r="R156" s="11"/>
    </row>
    <row r="157" spans="1:18" ht="33" customHeight="1" x14ac:dyDescent="0.35">
      <c r="A157" s="800"/>
      <c r="B157" s="12" t="s">
        <v>16</v>
      </c>
      <c r="C157" s="5" t="s">
        <v>554</v>
      </c>
      <c r="D157" s="5">
        <v>0</v>
      </c>
      <c r="E157" s="5">
        <v>0</v>
      </c>
      <c r="F157" s="5">
        <v>0</v>
      </c>
      <c r="G157" s="5">
        <v>0</v>
      </c>
      <c r="H157" s="5">
        <v>0</v>
      </c>
      <c r="I157" s="5">
        <v>0</v>
      </c>
      <c r="J157" s="5">
        <v>0</v>
      </c>
      <c r="K157" s="5">
        <v>0</v>
      </c>
      <c r="L157" s="5">
        <v>0</v>
      </c>
      <c r="M157" s="5">
        <v>0</v>
      </c>
      <c r="N157" s="5">
        <v>0</v>
      </c>
      <c r="O157" s="5">
        <v>0</v>
      </c>
      <c r="P157" s="222">
        <f t="shared" ref="P157:P158" si="3">SUM(D157:O157)</f>
        <v>0</v>
      </c>
      <c r="Q157" s="11"/>
      <c r="R157" s="11"/>
    </row>
    <row r="158" spans="1:18" ht="33" customHeight="1" x14ac:dyDescent="0.35">
      <c r="A158" s="801"/>
      <c r="B158" s="12" t="s">
        <v>13</v>
      </c>
      <c r="C158" s="5" t="s">
        <v>554</v>
      </c>
      <c r="D158" s="5">
        <v>0</v>
      </c>
      <c r="E158" s="5">
        <v>0</v>
      </c>
      <c r="F158" s="5">
        <v>0</v>
      </c>
      <c r="G158" s="5">
        <v>0</v>
      </c>
      <c r="H158" s="5">
        <v>0</v>
      </c>
      <c r="I158" s="5">
        <v>0</v>
      </c>
      <c r="J158" s="5">
        <v>0</v>
      </c>
      <c r="K158" s="5">
        <v>0</v>
      </c>
      <c r="L158" s="5">
        <v>0</v>
      </c>
      <c r="M158" s="5">
        <v>0</v>
      </c>
      <c r="N158" s="5">
        <v>0</v>
      </c>
      <c r="O158" s="5">
        <v>0</v>
      </c>
      <c r="P158" s="222">
        <f t="shared" si="3"/>
        <v>0</v>
      </c>
      <c r="Q158" s="11"/>
      <c r="R158" s="11"/>
    </row>
    <row r="159" spans="1:18" ht="23.5" x14ac:dyDescent="0.55000000000000004">
      <c r="A159" s="794" t="s">
        <v>807</v>
      </c>
      <c r="B159" s="794"/>
      <c r="C159" s="794"/>
      <c r="D159" s="794"/>
      <c r="E159" s="794"/>
      <c r="F159" s="794"/>
      <c r="G159" s="794"/>
      <c r="H159" s="794"/>
      <c r="I159" s="794"/>
      <c r="J159" s="794"/>
      <c r="K159" s="794"/>
      <c r="L159" s="794"/>
      <c r="M159" s="794"/>
      <c r="N159" s="794"/>
      <c r="O159" s="794"/>
      <c r="P159" s="794"/>
      <c r="Q159" s="11"/>
      <c r="R159" s="5"/>
    </row>
    <row r="160" spans="1:18" x14ac:dyDescent="0.35">
      <c r="A160" s="795" t="s">
        <v>57</v>
      </c>
      <c r="B160" s="796"/>
      <c r="C160" s="796"/>
      <c r="D160" s="796"/>
      <c r="E160" s="796"/>
      <c r="F160" s="796"/>
      <c r="G160" s="796"/>
      <c r="H160" s="796"/>
      <c r="I160" s="796"/>
      <c r="J160" s="796"/>
      <c r="K160" s="796"/>
      <c r="L160" s="796"/>
      <c r="M160" s="796"/>
      <c r="N160" s="796"/>
      <c r="O160" s="796"/>
      <c r="P160" s="217"/>
      <c r="Q160" s="170"/>
      <c r="R160" s="123"/>
    </row>
    <row r="161" spans="1:18" ht="15" thickBot="1" x14ac:dyDescent="0.4">
      <c r="A161" s="78" t="s">
        <v>808</v>
      </c>
      <c r="B161" s="59" t="s">
        <v>809</v>
      </c>
      <c r="C161" s="146" t="s">
        <v>788</v>
      </c>
      <c r="D161" s="131">
        <v>44562</v>
      </c>
      <c r="E161" s="131">
        <v>44593</v>
      </c>
      <c r="F161" s="131">
        <v>44621</v>
      </c>
      <c r="G161" s="131">
        <v>44652</v>
      </c>
      <c r="H161" s="131">
        <v>44682</v>
      </c>
      <c r="I161" s="131">
        <v>44713</v>
      </c>
      <c r="J161" s="131">
        <v>44743</v>
      </c>
      <c r="K161" s="131">
        <v>44774</v>
      </c>
      <c r="L161" s="131">
        <v>44805</v>
      </c>
      <c r="M161" s="131">
        <v>44835</v>
      </c>
      <c r="N161" s="131">
        <v>44866</v>
      </c>
      <c r="O161" s="131">
        <v>44896</v>
      </c>
      <c r="P161" s="132" t="s">
        <v>550</v>
      </c>
      <c r="Q161" s="161" t="s">
        <v>789</v>
      </c>
      <c r="R161" s="111" t="s">
        <v>790</v>
      </c>
    </row>
    <row r="162" spans="1:18" ht="15" thickBot="1" x14ac:dyDescent="0.4">
      <c r="A162" s="80" t="s">
        <v>85</v>
      </c>
      <c r="B162" s="65" t="s">
        <v>10</v>
      </c>
      <c r="C162" s="807"/>
      <c r="D162" s="807"/>
      <c r="E162" s="807"/>
      <c r="F162" s="807"/>
      <c r="G162" s="807"/>
      <c r="H162" s="807"/>
      <c r="I162" s="807"/>
      <c r="J162" s="807"/>
      <c r="K162" s="807"/>
      <c r="L162" s="807"/>
      <c r="M162" s="807"/>
      <c r="N162" s="807"/>
      <c r="O162" s="807"/>
      <c r="P162" s="550">
        <v>0</v>
      </c>
      <c r="Q162" s="11"/>
      <c r="R162" s="5"/>
    </row>
    <row r="163" spans="1:18" ht="15" thickBot="1" x14ac:dyDescent="0.4">
      <c r="A163" s="19" t="s">
        <v>85</v>
      </c>
      <c r="B163" s="37" t="s">
        <v>810</v>
      </c>
      <c r="C163" s="804"/>
      <c r="D163" s="808"/>
      <c r="E163" s="808"/>
      <c r="F163" s="808"/>
      <c r="G163" s="808"/>
      <c r="H163" s="808"/>
      <c r="I163" s="808"/>
      <c r="J163" s="808"/>
      <c r="K163" s="808"/>
      <c r="L163" s="808"/>
      <c r="M163" s="808"/>
      <c r="N163" s="808"/>
      <c r="O163" s="808"/>
      <c r="P163" s="550">
        <f>Estimations_collectivité!E46</f>
        <v>0</v>
      </c>
      <c r="Q163" s="805"/>
      <c r="R163" s="5"/>
    </row>
    <row r="164" spans="1:18" ht="15" thickBot="1" x14ac:dyDescent="0.4">
      <c r="A164" s="19" t="s">
        <v>85</v>
      </c>
      <c r="B164" s="37" t="s">
        <v>16</v>
      </c>
      <c r="C164" s="804"/>
      <c r="D164" s="808"/>
      <c r="E164" s="808"/>
      <c r="F164" s="808"/>
      <c r="G164" s="808"/>
      <c r="H164" s="808"/>
      <c r="I164" s="808"/>
      <c r="J164" s="808"/>
      <c r="K164" s="808"/>
      <c r="L164" s="808"/>
      <c r="M164" s="808"/>
      <c r="N164" s="808"/>
      <c r="O164" s="808"/>
      <c r="P164" s="550">
        <f>Estimations_collectivité!E45</f>
        <v>0</v>
      </c>
      <c r="Q164" s="805"/>
      <c r="R164" s="5"/>
    </row>
    <row r="165" spans="1:18" ht="15" thickBot="1" x14ac:dyDescent="0.4">
      <c r="A165" s="25" t="s">
        <v>85</v>
      </c>
      <c r="B165" s="66" t="s">
        <v>538</v>
      </c>
      <c r="C165" s="809"/>
      <c r="D165" s="810"/>
      <c r="E165" s="810"/>
      <c r="F165" s="810"/>
      <c r="G165" s="810"/>
      <c r="H165" s="810"/>
      <c r="I165" s="810"/>
      <c r="J165" s="810"/>
      <c r="K165" s="810"/>
      <c r="L165" s="810"/>
      <c r="M165" s="810"/>
      <c r="N165" s="810"/>
      <c r="O165" s="810"/>
      <c r="P165" s="550">
        <f>Estimations_collectivité!D47</f>
        <v>0</v>
      </c>
      <c r="Q165" s="805"/>
      <c r="R165" s="5"/>
    </row>
    <row r="166" spans="1:18" ht="15" thickBot="1" x14ac:dyDescent="0.4">
      <c r="A166" s="80" t="s">
        <v>78</v>
      </c>
      <c r="B166" s="65" t="s">
        <v>10</v>
      </c>
      <c r="C166" s="807"/>
      <c r="D166" s="807"/>
      <c r="E166" s="807"/>
      <c r="F166" s="807"/>
      <c r="G166" s="807"/>
      <c r="H166" s="807"/>
      <c r="I166" s="807"/>
      <c r="J166" s="807"/>
      <c r="K166" s="807"/>
      <c r="L166" s="807"/>
      <c r="M166" s="807"/>
      <c r="N166" s="807"/>
      <c r="O166" s="807"/>
      <c r="P166" s="550">
        <f>SUM(C166:O166)</f>
        <v>0</v>
      </c>
      <c r="Q166" s="805"/>
      <c r="R166" s="11"/>
    </row>
    <row r="167" spans="1:18" ht="15" thickBot="1" x14ac:dyDescent="0.4">
      <c r="A167" s="19" t="s">
        <v>78</v>
      </c>
      <c r="B167" s="37" t="s">
        <v>811</v>
      </c>
      <c r="C167" s="804"/>
      <c r="D167" s="804"/>
      <c r="E167" s="804"/>
      <c r="F167" s="804"/>
      <c r="G167" s="804"/>
      <c r="H167" s="804"/>
      <c r="I167" s="804"/>
      <c r="J167" s="804"/>
      <c r="K167" s="804"/>
      <c r="L167" s="804"/>
      <c r="M167" s="804"/>
      <c r="N167" s="804"/>
      <c r="O167" s="804"/>
      <c r="P167" s="550">
        <f>Estimations_collectivité!D123</f>
        <v>0</v>
      </c>
      <c r="Q167" s="805"/>
      <c r="R167" s="5"/>
    </row>
    <row r="168" spans="1:18" ht="15" thickBot="1" x14ac:dyDescent="0.4">
      <c r="A168" s="19" t="s">
        <v>78</v>
      </c>
      <c r="B168" s="37" t="s">
        <v>39</v>
      </c>
      <c r="C168" s="804"/>
      <c r="D168" s="804"/>
      <c r="E168" s="804"/>
      <c r="F168" s="804"/>
      <c r="G168" s="804"/>
      <c r="H168" s="804"/>
      <c r="I168" s="804"/>
      <c r="J168" s="804"/>
      <c r="K168" s="804"/>
      <c r="L168" s="804"/>
      <c r="M168" s="804"/>
      <c r="N168" s="804"/>
      <c r="O168" s="804"/>
      <c r="P168" s="550">
        <f>Estimations_collectivité!D124</f>
        <v>0</v>
      </c>
      <c r="Q168" s="805"/>
      <c r="R168" s="5"/>
    </row>
    <row r="169" spans="1:18" ht="15" thickBot="1" x14ac:dyDescent="0.4">
      <c r="A169" s="25" t="s">
        <v>78</v>
      </c>
      <c r="B169" s="66" t="s">
        <v>36</v>
      </c>
      <c r="C169" s="809"/>
      <c r="D169" s="809"/>
      <c r="E169" s="809"/>
      <c r="F169" s="809"/>
      <c r="G169" s="809"/>
      <c r="H169" s="809"/>
      <c r="I169" s="809"/>
      <c r="J169" s="809"/>
      <c r="K169" s="809"/>
      <c r="L169" s="809"/>
      <c r="M169" s="809"/>
      <c r="N169" s="809"/>
      <c r="O169" s="809"/>
      <c r="P169" s="550">
        <f>Estimations_collectivité!D125</f>
        <v>0</v>
      </c>
      <c r="Q169" s="805"/>
      <c r="R169" s="5"/>
    </row>
    <row r="170" spans="1:18" ht="15" thickBot="1" x14ac:dyDescent="0.4">
      <c r="A170" s="80" t="s">
        <v>210</v>
      </c>
      <c r="B170" s="65" t="s">
        <v>812</v>
      </c>
      <c r="C170" s="807"/>
      <c r="D170" s="807"/>
      <c r="E170" s="807"/>
      <c r="F170" s="807"/>
      <c r="G170" s="807"/>
      <c r="H170" s="807"/>
      <c r="I170" s="807"/>
      <c r="J170" s="807"/>
      <c r="K170" s="807"/>
      <c r="L170" s="807"/>
      <c r="M170" s="807"/>
      <c r="N170" s="807"/>
      <c r="O170" s="807"/>
      <c r="P170" s="550">
        <f t="shared" ref="P170:P173" si="4">SUM(D170:O170)</f>
        <v>0</v>
      </c>
      <c r="Q170" s="805"/>
      <c r="R170" s="5"/>
    </row>
    <row r="171" spans="1:18" ht="15" thickBot="1" x14ac:dyDescent="0.4">
      <c r="A171" s="19" t="s">
        <v>210</v>
      </c>
      <c r="B171" s="37" t="s">
        <v>813</v>
      </c>
      <c r="C171" s="804"/>
      <c r="D171" s="804"/>
      <c r="E171" s="804"/>
      <c r="F171" s="804"/>
      <c r="G171" s="804"/>
      <c r="H171" s="804"/>
      <c r="I171" s="804"/>
      <c r="J171" s="804"/>
      <c r="K171" s="804"/>
      <c r="L171" s="804"/>
      <c r="M171" s="804"/>
      <c r="N171" s="804"/>
      <c r="O171" s="804"/>
      <c r="P171" s="550">
        <f t="shared" si="4"/>
        <v>0</v>
      </c>
      <c r="Q171" s="805"/>
      <c r="R171" s="5"/>
    </row>
    <row r="172" spans="1:18" ht="15" thickBot="1" x14ac:dyDescent="0.4">
      <c r="A172" s="19" t="s">
        <v>210</v>
      </c>
      <c r="B172" s="37" t="s">
        <v>44</v>
      </c>
      <c r="C172" s="804"/>
      <c r="D172" s="804"/>
      <c r="E172" s="804"/>
      <c r="F172" s="804"/>
      <c r="G172" s="804"/>
      <c r="H172" s="804"/>
      <c r="I172" s="804"/>
      <c r="J172" s="804"/>
      <c r="K172" s="804"/>
      <c r="L172" s="804"/>
      <c r="M172" s="804"/>
      <c r="N172" s="804"/>
      <c r="O172" s="804"/>
      <c r="P172" s="550">
        <f t="shared" si="4"/>
        <v>0</v>
      </c>
      <c r="Q172" s="805"/>
      <c r="R172" s="5"/>
    </row>
    <row r="173" spans="1:18" ht="15" thickBot="1" x14ac:dyDescent="0.4">
      <c r="A173" s="25" t="s">
        <v>210</v>
      </c>
      <c r="B173" s="66" t="s">
        <v>45</v>
      </c>
      <c r="C173" s="809"/>
      <c r="D173" s="809"/>
      <c r="E173" s="809"/>
      <c r="F173" s="809"/>
      <c r="G173" s="809"/>
      <c r="H173" s="809"/>
      <c r="I173" s="809"/>
      <c r="J173" s="809"/>
      <c r="K173" s="809"/>
      <c r="L173" s="809"/>
      <c r="M173" s="809"/>
      <c r="N173" s="809"/>
      <c r="O173" s="809"/>
      <c r="P173" s="550">
        <f t="shared" si="4"/>
        <v>0</v>
      </c>
      <c r="Q173" s="11"/>
      <c r="R173" s="5"/>
    </row>
    <row r="174" spans="1:18" x14ac:dyDescent="0.35">
      <c r="A174" s="25" t="s">
        <v>210</v>
      </c>
      <c r="B174" s="66" t="s">
        <v>45</v>
      </c>
      <c r="C174" s="811"/>
      <c r="D174" s="811"/>
      <c r="E174" s="811"/>
      <c r="F174" s="811"/>
      <c r="G174" s="811"/>
      <c r="H174" s="811"/>
      <c r="I174" s="811"/>
      <c r="J174" s="811"/>
      <c r="K174" s="811"/>
      <c r="L174" s="811"/>
      <c r="M174" s="811"/>
      <c r="N174" s="811"/>
      <c r="O174" s="811"/>
      <c r="P174" s="552">
        <f>SUM(D174:O174)</f>
        <v>0</v>
      </c>
      <c r="Q174" s="11"/>
      <c r="R174" s="5"/>
    </row>
    <row r="175" spans="1:18" x14ac:dyDescent="0.35">
      <c r="A175" s="81" t="s">
        <v>814</v>
      </c>
      <c r="B175" s="64"/>
      <c r="C175" s="134"/>
      <c r="D175" s="134"/>
      <c r="E175" s="134"/>
      <c r="F175" s="134"/>
      <c r="G175" s="134"/>
      <c r="H175" s="134"/>
      <c r="I175" s="134"/>
      <c r="J175" s="134"/>
      <c r="K175" s="134"/>
      <c r="L175" s="134"/>
      <c r="M175" s="134"/>
      <c r="N175" s="134"/>
      <c r="O175" s="134"/>
      <c r="P175" s="165"/>
      <c r="Q175" s="169"/>
      <c r="R175" s="133"/>
    </row>
    <row r="176" spans="1:18" x14ac:dyDescent="0.35">
      <c r="A176" s="82"/>
      <c r="B176" s="68" t="s">
        <v>815</v>
      </c>
      <c r="C176" s="111"/>
      <c r="D176" s="111"/>
      <c r="E176" s="111"/>
      <c r="F176" s="111"/>
      <c r="G176" s="111"/>
      <c r="H176" s="111"/>
      <c r="I176" s="111"/>
      <c r="J176" s="111"/>
      <c r="K176" s="111"/>
      <c r="L176" s="111"/>
      <c r="M176" s="111"/>
      <c r="N176" s="111"/>
      <c r="O176" s="222" t="s">
        <v>816</v>
      </c>
      <c r="P176" s="164" t="s">
        <v>817</v>
      </c>
      <c r="Q176" s="161" t="s">
        <v>789</v>
      </c>
      <c r="R176" s="111" t="s">
        <v>790</v>
      </c>
    </row>
    <row r="177" spans="1:18" x14ac:dyDescent="0.35">
      <c r="A177" s="83" t="s">
        <v>41</v>
      </c>
      <c r="B177" s="266"/>
      <c r="C177" s="226"/>
      <c r="D177" s="226"/>
      <c r="E177" s="226"/>
      <c r="F177" s="226"/>
      <c r="G177" s="226"/>
      <c r="H177" s="226"/>
      <c r="I177" s="226"/>
      <c r="J177" s="226"/>
      <c r="K177" s="226"/>
      <c r="L177" s="226"/>
      <c r="M177" s="226"/>
      <c r="N177" s="226"/>
      <c r="O177" s="222" t="e">
        <f>Estimations_collectivité!D270</f>
        <v>#VALUE!</v>
      </c>
      <c r="P177" s="411" t="e">
        <f>Estimations_collectivité!D293</f>
        <v>#VALUE!</v>
      </c>
      <c r="Q177" s="11"/>
      <c r="R177" s="5"/>
    </row>
    <row r="178" spans="1:18" x14ac:dyDescent="0.35">
      <c r="A178" s="83" t="s">
        <v>217</v>
      </c>
      <c r="B178" s="266"/>
      <c r="C178" s="226"/>
      <c r="D178" s="226"/>
      <c r="E178" s="226"/>
      <c r="F178" s="226"/>
      <c r="G178" s="226"/>
      <c r="H178" s="226"/>
      <c r="I178" s="226"/>
      <c r="J178" s="226"/>
      <c r="K178" s="226"/>
      <c r="L178" s="226"/>
      <c r="M178" s="226"/>
      <c r="N178" s="226"/>
      <c r="O178" s="222" t="e">
        <f>Estimations_collectivité!D271</f>
        <v>#VALUE!</v>
      </c>
      <c r="P178" s="164" t="e">
        <f>Estimations_collectivité!D294</f>
        <v>#VALUE!</v>
      </c>
      <c r="Q178" s="11"/>
      <c r="R178" s="5"/>
    </row>
    <row r="179" spans="1:18" x14ac:dyDescent="0.35">
      <c r="A179" s="79" t="s">
        <v>81</v>
      </c>
      <c r="B179" s="67"/>
      <c r="C179" s="133"/>
      <c r="D179" s="133"/>
      <c r="E179" s="133"/>
      <c r="F179" s="133"/>
      <c r="G179" s="133"/>
      <c r="H179" s="133"/>
      <c r="I179" s="133"/>
      <c r="J179" s="133"/>
      <c r="K179" s="133"/>
      <c r="L179" s="133"/>
      <c r="M179" s="133"/>
      <c r="N179" s="133"/>
      <c r="O179" s="133"/>
      <c r="P179" s="162"/>
      <c r="Q179" s="169"/>
      <c r="R179" s="133"/>
    </row>
    <row r="180" spans="1:18" x14ac:dyDescent="0.35">
      <c r="A180" s="84"/>
      <c r="B180" s="68" t="s">
        <v>818</v>
      </c>
      <c r="C180" s="111"/>
      <c r="D180" s="111"/>
      <c r="E180" s="111"/>
      <c r="F180" s="111"/>
      <c r="G180" s="111"/>
      <c r="H180" s="111"/>
      <c r="I180" s="111"/>
      <c r="J180" s="111"/>
      <c r="K180" s="111"/>
      <c r="L180" s="111"/>
      <c r="M180" s="111"/>
      <c r="N180" s="111"/>
      <c r="O180" s="111"/>
      <c r="P180" s="164" t="s">
        <v>819</v>
      </c>
      <c r="Q180" s="161" t="s">
        <v>789</v>
      </c>
      <c r="R180" s="111" t="s">
        <v>790</v>
      </c>
    </row>
    <row r="181" spans="1:18" x14ac:dyDescent="0.35">
      <c r="A181" s="83" t="s">
        <v>820</v>
      </c>
      <c r="B181" s="12" t="s">
        <v>803</v>
      </c>
      <c r="C181" s="5"/>
      <c r="D181" s="5"/>
      <c r="E181" s="5"/>
      <c r="F181" s="5"/>
      <c r="G181" s="5"/>
      <c r="H181" s="5"/>
      <c r="I181" s="5"/>
      <c r="J181" s="5"/>
      <c r="K181" s="5"/>
      <c r="L181" s="5"/>
      <c r="M181" s="5"/>
      <c r="N181" s="5"/>
      <c r="O181" s="5"/>
      <c r="P181" s="555">
        <f>Estimations_collectivité!B181</f>
        <v>0</v>
      </c>
      <c r="Q181" s="11"/>
      <c r="R181" s="5"/>
    </row>
    <row r="182" spans="1:18" x14ac:dyDescent="0.35">
      <c r="A182" s="83" t="s">
        <v>821</v>
      </c>
      <c r="B182" s="12" t="s">
        <v>444</v>
      </c>
      <c r="C182" s="5"/>
      <c r="D182" s="5"/>
      <c r="E182" s="5"/>
      <c r="F182" s="5"/>
      <c r="G182" s="5"/>
      <c r="H182" s="5"/>
      <c r="I182" s="5"/>
      <c r="J182" s="5"/>
      <c r="K182" s="5"/>
      <c r="L182" s="5"/>
      <c r="M182" s="5"/>
      <c r="N182" s="5"/>
      <c r="O182" s="5"/>
      <c r="P182" s="555">
        <f>Estimations_collectivité!B182</f>
        <v>0</v>
      </c>
      <c r="Q182" s="11"/>
      <c r="R182" s="5"/>
    </row>
    <row r="183" spans="1:18" ht="15" thickBot="1" x14ac:dyDescent="0.4">
      <c r="A183" s="85"/>
      <c r="B183" s="239"/>
      <c r="C183" s="150"/>
      <c r="D183" s="150"/>
      <c r="E183" s="150"/>
      <c r="F183" s="150"/>
      <c r="G183" s="150"/>
      <c r="H183" s="150"/>
      <c r="I183" s="150"/>
      <c r="J183" s="150"/>
      <c r="K183" s="150"/>
      <c r="L183" s="150"/>
      <c r="M183" s="150"/>
      <c r="N183" s="150"/>
      <c r="O183" s="150"/>
      <c r="P183" s="166"/>
      <c r="Q183" s="11"/>
      <c r="R183" s="5"/>
    </row>
    <row r="184" spans="1:18" ht="18.5" x14ac:dyDescent="0.35">
      <c r="A184" s="265" t="s">
        <v>822</v>
      </c>
      <c r="B184" s="121"/>
      <c r="C184" s="123"/>
      <c r="D184" s="123"/>
      <c r="E184" s="123"/>
      <c r="F184" s="123"/>
      <c r="G184" s="123"/>
      <c r="H184" s="123"/>
      <c r="I184" s="123"/>
      <c r="J184" s="123"/>
      <c r="K184" s="123"/>
      <c r="L184" s="123"/>
      <c r="M184" s="123"/>
      <c r="N184" s="123"/>
      <c r="O184" s="123"/>
      <c r="P184" s="123"/>
      <c r="Q184" s="170"/>
      <c r="R184" s="123"/>
    </row>
    <row r="185" spans="1:18" x14ac:dyDescent="0.35">
      <c r="A185" s="264" t="s">
        <v>81</v>
      </c>
      <c r="B185" s="121"/>
      <c r="C185" s="123"/>
      <c r="D185" s="123"/>
      <c r="E185" s="123"/>
      <c r="F185" s="123"/>
      <c r="G185" s="123"/>
      <c r="H185" s="123"/>
      <c r="I185" s="123"/>
      <c r="J185" s="123"/>
      <c r="K185" s="123"/>
      <c r="L185" s="123"/>
      <c r="M185" s="123"/>
      <c r="N185" s="123"/>
      <c r="O185" s="123"/>
      <c r="P185" s="123"/>
      <c r="Q185" s="170"/>
      <c r="R185" s="123"/>
    </row>
    <row r="186" spans="1:18" x14ac:dyDescent="0.35">
      <c r="A186" s="58" t="s">
        <v>21</v>
      </c>
      <c r="B186" s="68" t="s">
        <v>818</v>
      </c>
      <c r="C186" s="111"/>
      <c r="D186" s="111"/>
      <c r="E186" s="111"/>
      <c r="F186" s="111"/>
      <c r="G186" s="111"/>
      <c r="H186" s="111"/>
      <c r="I186" s="111"/>
      <c r="J186" s="111"/>
      <c r="K186" s="111"/>
      <c r="L186" s="111"/>
      <c r="M186" s="111"/>
      <c r="N186" s="111"/>
      <c r="O186" s="111"/>
      <c r="P186" s="111"/>
      <c r="Q186" s="221"/>
      <c r="R186" s="111"/>
    </row>
    <row r="187" spans="1:18" s="227" customFormat="1" x14ac:dyDescent="0.35">
      <c r="A187" s="37" t="s">
        <v>819</v>
      </c>
      <c r="B187" s="266" t="s">
        <v>13</v>
      </c>
      <c r="C187" s="332"/>
      <c r="D187" s="226"/>
      <c r="E187" s="226"/>
      <c r="F187" s="226"/>
      <c r="G187" s="226"/>
      <c r="H187" s="226"/>
      <c r="I187" s="226"/>
      <c r="J187" s="226"/>
      <c r="K187" s="226"/>
      <c r="L187" s="226"/>
      <c r="M187" s="226"/>
      <c r="N187" s="226"/>
      <c r="O187" s="226"/>
      <c r="P187" s="553">
        <f>SUM(C187:O187)</f>
        <v>0</v>
      </c>
      <c r="Q187" s="424"/>
      <c r="R187" s="226"/>
    </row>
    <row r="188" spans="1:18" s="227" customFormat="1" x14ac:dyDescent="0.35">
      <c r="A188" s="58" t="s">
        <v>823</v>
      </c>
      <c r="B188" s="68"/>
      <c r="C188" s="111"/>
      <c r="D188" s="111"/>
      <c r="E188" s="111"/>
      <c r="F188" s="111"/>
      <c r="G188" s="111"/>
      <c r="H188" s="111"/>
      <c r="I188" s="111"/>
      <c r="J188" s="111"/>
      <c r="K188" s="111"/>
      <c r="L188" s="111"/>
      <c r="M188" s="111"/>
      <c r="N188" s="111"/>
      <c r="O188" s="111"/>
      <c r="P188" s="556"/>
      <c r="Q188" s="221"/>
      <c r="R188" s="111"/>
    </row>
    <row r="189" spans="1:18" s="227" customFormat="1" x14ac:dyDescent="0.35">
      <c r="A189" s="37" t="s">
        <v>824</v>
      </c>
      <c r="B189" s="266" t="s">
        <v>13</v>
      </c>
      <c r="C189" s="332"/>
      <c r="D189" s="226"/>
      <c r="E189" s="226"/>
      <c r="F189" s="226"/>
      <c r="G189" s="226"/>
      <c r="H189" s="226"/>
      <c r="I189" s="226"/>
      <c r="J189" s="226"/>
      <c r="K189" s="226"/>
      <c r="L189" s="226"/>
      <c r="M189" s="226"/>
      <c r="N189" s="226"/>
      <c r="O189" s="226"/>
      <c r="P189" s="553">
        <f t="shared" ref="P189:P215" si="5">SUM(C189:O189)</f>
        <v>0</v>
      </c>
      <c r="Q189" s="819"/>
      <c r="R189" s="226"/>
    </row>
    <row r="190" spans="1:18" s="227" customFormat="1" x14ac:dyDescent="0.35">
      <c r="A190" s="37" t="s">
        <v>825</v>
      </c>
      <c r="B190" s="266" t="s">
        <v>13</v>
      </c>
      <c r="C190" s="332"/>
      <c r="D190" s="226"/>
      <c r="E190" s="226"/>
      <c r="F190" s="226"/>
      <c r="G190" s="226"/>
      <c r="H190" s="226"/>
      <c r="I190" s="226"/>
      <c r="J190" s="226"/>
      <c r="K190" s="226"/>
      <c r="L190" s="226"/>
      <c r="M190" s="226"/>
      <c r="N190" s="226"/>
      <c r="O190" s="226"/>
      <c r="P190" s="553">
        <f t="shared" si="5"/>
        <v>0</v>
      </c>
      <c r="Q190" s="820"/>
      <c r="R190" s="226"/>
    </row>
    <row r="191" spans="1:18" s="227" customFormat="1" x14ac:dyDescent="0.35">
      <c r="A191" s="58" t="s">
        <v>701</v>
      </c>
      <c r="B191" s="68"/>
      <c r="C191" s="111"/>
      <c r="D191" s="111"/>
      <c r="E191" s="111"/>
      <c r="F191" s="111"/>
      <c r="G191" s="111"/>
      <c r="H191" s="111"/>
      <c r="I191" s="111"/>
      <c r="J191" s="111"/>
      <c r="K191" s="111"/>
      <c r="L191" s="111"/>
      <c r="M191" s="111"/>
      <c r="N191" s="111"/>
      <c r="O191" s="111"/>
      <c r="P191" s="556"/>
      <c r="Q191" s="325"/>
      <c r="R191" s="111"/>
    </row>
    <row r="192" spans="1:18" s="227" customFormat="1" x14ac:dyDescent="0.35">
      <c r="A192" s="37" t="s">
        <v>826</v>
      </c>
      <c r="B192" s="266" t="s">
        <v>13</v>
      </c>
      <c r="C192" s="332"/>
      <c r="D192" s="226"/>
      <c r="E192" s="226"/>
      <c r="F192" s="226"/>
      <c r="G192" s="226"/>
      <c r="H192" s="226"/>
      <c r="I192" s="226"/>
      <c r="J192" s="226"/>
      <c r="K192" s="226"/>
      <c r="L192" s="226"/>
      <c r="M192" s="226"/>
      <c r="N192" s="226"/>
      <c r="O192" s="226"/>
      <c r="P192" s="553">
        <f t="shared" si="5"/>
        <v>0</v>
      </c>
      <c r="Q192" s="821"/>
      <c r="R192" s="226"/>
    </row>
    <row r="193" spans="1:18" s="227" customFormat="1" x14ac:dyDescent="0.35">
      <c r="A193" s="37" t="s">
        <v>827</v>
      </c>
      <c r="B193" s="266" t="s">
        <v>13</v>
      </c>
      <c r="C193" s="332"/>
      <c r="D193" s="226"/>
      <c r="E193" s="226"/>
      <c r="F193" s="226"/>
      <c r="G193" s="226"/>
      <c r="H193" s="226"/>
      <c r="I193" s="226"/>
      <c r="J193" s="226"/>
      <c r="K193" s="226"/>
      <c r="L193" s="226"/>
      <c r="M193" s="226"/>
      <c r="N193" s="226"/>
      <c r="O193" s="226"/>
      <c r="P193" s="553">
        <f t="shared" si="5"/>
        <v>0</v>
      </c>
      <c r="Q193" s="821"/>
      <c r="R193" s="226"/>
    </row>
    <row r="194" spans="1:18" s="227" customFormat="1" x14ac:dyDescent="0.35">
      <c r="A194" s="37" t="s">
        <v>828</v>
      </c>
      <c r="B194" s="266" t="s">
        <v>13</v>
      </c>
      <c r="C194" s="332"/>
      <c r="D194" s="226"/>
      <c r="E194" s="226"/>
      <c r="F194" s="226"/>
      <c r="G194" s="226"/>
      <c r="H194" s="226"/>
      <c r="I194" s="226"/>
      <c r="J194" s="226"/>
      <c r="K194" s="226"/>
      <c r="L194" s="226"/>
      <c r="M194" s="226"/>
      <c r="N194" s="226"/>
      <c r="O194" s="226"/>
      <c r="P194" s="553">
        <f t="shared" si="5"/>
        <v>0</v>
      </c>
      <c r="Q194" s="821"/>
      <c r="R194" s="226"/>
    </row>
    <row r="195" spans="1:18" x14ac:dyDescent="0.35">
      <c r="A195" s="88" t="s">
        <v>829</v>
      </c>
      <c r="B195" s="266" t="s">
        <v>13</v>
      </c>
      <c r="C195" s="154"/>
      <c r="D195" s="5"/>
      <c r="E195" s="5"/>
      <c r="F195" s="5"/>
      <c r="G195" s="5"/>
      <c r="H195" s="5"/>
      <c r="I195" s="5"/>
      <c r="J195" s="5"/>
      <c r="K195" s="5"/>
      <c r="L195" s="5"/>
      <c r="M195" s="5"/>
      <c r="N195" s="5"/>
      <c r="O195" s="5"/>
      <c r="P195" s="553">
        <f t="shared" si="5"/>
        <v>0</v>
      </c>
      <c r="Q195" s="821"/>
      <c r="R195" s="5"/>
    </row>
    <row r="196" spans="1:18" x14ac:dyDescent="0.35">
      <c r="A196" s="88" t="s">
        <v>830</v>
      </c>
      <c r="B196" s="266" t="s">
        <v>13</v>
      </c>
      <c r="C196" s="154"/>
      <c r="D196" s="5"/>
      <c r="E196" s="5"/>
      <c r="F196" s="5"/>
      <c r="G196" s="5"/>
      <c r="H196" s="5"/>
      <c r="I196" s="5"/>
      <c r="J196" s="5"/>
      <c r="K196" s="5"/>
      <c r="L196" s="5"/>
      <c r="M196" s="5"/>
      <c r="N196" s="5"/>
      <c r="O196" s="5"/>
      <c r="P196" s="553">
        <f t="shared" si="5"/>
        <v>0</v>
      </c>
      <c r="Q196" s="821"/>
      <c r="R196" s="5"/>
    </row>
    <row r="197" spans="1:18" x14ac:dyDescent="0.35">
      <c r="A197" s="88" t="s">
        <v>831</v>
      </c>
      <c r="B197" s="266" t="s">
        <v>13</v>
      </c>
      <c r="C197" s="154"/>
      <c r="D197" s="5"/>
      <c r="E197" s="5"/>
      <c r="F197" s="5"/>
      <c r="G197" s="5"/>
      <c r="H197" s="5"/>
      <c r="I197" s="5"/>
      <c r="J197" s="5"/>
      <c r="K197" s="5"/>
      <c r="L197" s="5"/>
      <c r="M197" s="5"/>
      <c r="N197" s="5"/>
      <c r="O197" s="5"/>
      <c r="P197" s="553">
        <f t="shared" si="5"/>
        <v>0</v>
      </c>
      <c r="Q197" s="821"/>
      <c r="R197" s="5"/>
    </row>
    <row r="198" spans="1:18" x14ac:dyDescent="0.35">
      <c r="A198" s="88" t="s">
        <v>832</v>
      </c>
      <c r="B198" s="266" t="s">
        <v>13</v>
      </c>
      <c r="C198" s="154"/>
      <c r="D198" s="5"/>
      <c r="E198" s="5"/>
      <c r="F198" s="5"/>
      <c r="G198" s="5"/>
      <c r="H198" s="5"/>
      <c r="I198" s="5"/>
      <c r="J198" s="5"/>
      <c r="K198" s="5"/>
      <c r="L198" s="5"/>
      <c r="M198" s="5"/>
      <c r="N198" s="5"/>
      <c r="O198" s="5"/>
      <c r="P198" s="553">
        <f t="shared" si="5"/>
        <v>0</v>
      </c>
      <c r="Q198" s="821"/>
      <c r="R198" s="5"/>
    </row>
    <row r="199" spans="1:18" x14ac:dyDescent="0.35">
      <c r="A199" s="88" t="s">
        <v>833</v>
      </c>
      <c r="B199" s="266" t="s">
        <v>13</v>
      </c>
      <c r="C199" s="154"/>
      <c r="D199" s="5"/>
      <c r="E199" s="5"/>
      <c r="F199" s="5"/>
      <c r="G199" s="5"/>
      <c r="H199" s="5"/>
      <c r="I199" s="5"/>
      <c r="J199" s="5"/>
      <c r="K199" s="5"/>
      <c r="L199" s="5"/>
      <c r="M199" s="5"/>
      <c r="N199" s="5"/>
      <c r="O199" s="5"/>
      <c r="P199" s="553">
        <f t="shared" si="5"/>
        <v>0</v>
      </c>
      <c r="Q199" s="821"/>
      <c r="R199" s="5"/>
    </row>
    <row r="200" spans="1:18" x14ac:dyDescent="0.35">
      <c r="A200" s="88" t="s">
        <v>834</v>
      </c>
      <c r="B200" s="266" t="s">
        <v>13</v>
      </c>
      <c r="C200" s="154"/>
      <c r="D200" s="5"/>
      <c r="E200" s="5"/>
      <c r="F200" s="5"/>
      <c r="G200" s="5"/>
      <c r="H200" s="5"/>
      <c r="I200" s="5"/>
      <c r="J200" s="5"/>
      <c r="K200" s="5"/>
      <c r="L200" s="5"/>
      <c r="M200" s="5"/>
      <c r="N200" s="5"/>
      <c r="O200" s="5"/>
      <c r="P200" s="553">
        <f t="shared" si="5"/>
        <v>0</v>
      </c>
      <c r="Q200" s="821"/>
      <c r="R200" s="5"/>
    </row>
    <row r="201" spans="1:18" x14ac:dyDescent="0.35">
      <c r="A201" s="88" t="s">
        <v>835</v>
      </c>
      <c r="B201" s="266" t="s">
        <v>13</v>
      </c>
      <c r="C201" s="154"/>
      <c r="D201" s="5"/>
      <c r="E201" s="5"/>
      <c r="F201" s="5"/>
      <c r="G201" s="5"/>
      <c r="H201" s="5"/>
      <c r="I201" s="5"/>
      <c r="J201" s="5"/>
      <c r="K201" s="5"/>
      <c r="L201" s="5"/>
      <c r="M201" s="5"/>
      <c r="N201" s="5"/>
      <c r="O201" s="5"/>
      <c r="P201" s="553">
        <f t="shared" si="5"/>
        <v>0</v>
      </c>
      <c r="Q201" s="821"/>
      <c r="R201" s="5"/>
    </row>
    <row r="202" spans="1:18" x14ac:dyDescent="0.35">
      <c r="A202" s="88" t="s">
        <v>184</v>
      </c>
      <c r="B202" s="266" t="s">
        <v>13</v>
      </c>
      <c r="C202" s="154"/>
      <c r="D202" s="5"/>
      <c r="E202" s="5"/>
      <c r="F202" s="5"/>
      <c r="G202" s="5"/>
      <c r="H202" s="5"/>
      <c r="I202" s="5"/>
      <c r="J202" s="5"/>
      <c r="K202" s="5"/>
      <c r="L202" s="5"/>
      <c r="M202" s="5"/>
      <c r="N202" s="5"/>
      <c r="O202" s="5"/>
      <c r="P202" s="553">
        <f t="shared" si="5"/>
        <v>0</v>
      </c>
      <c r="Q202" s="821"/>
      <c r="R202" s="5"/>
    </row>
    <row r="203" spans="1:18" x14ac:dyDescent="0.35">
      <c r="A203" s="88" t="s">
        <v>836</v>
      </c>
      <c r="B203" s="266" t="s">
        <v>13</v>
      </c>
      <c r="C203" s="154"/>
      <c r="D203" s="5"/>
      <c r="E203" s="5"/>
      <c r="F203" s="5"/>
      <c r="G203" s="5"/>
      <c r="H203" s="5"/>
      <c r="I203" s="5"/>
      <c r="J203" s="5"/>
      <c r="K203" s="5"/>
      <c r="L203" s="5"/>
      <c r="M203" s="5"/>
      <c r="N203" s="5"/>
      <c r="O203" s="5"/>
      <c r="P203" s="553">
        <f t="shared" si="5"/>
        <v>0</v>
      </c>
      <c r="Q203" s="821"/>
      <c r="R203" s="5"/>
    </row>
    <row r="204" spans="1:18" x14ac:dyDescent="0.35">
      <c r="A204" s="88" t="s">
        <v>837</v>
      </c>
      <c r="B204" s="266" t="s">
        <v>13</v>
      </c>
      <c r="C204" s="154"/>
      <c r="D204" s="5"/>
      <c r="E204" s="5"/>
      <c r="F204" s="5"/>
      <c r="G204" s="5"/>
      <c r="H204" s="5"/>
      <c r="I204" s="5"/>
      <c r="J204" s="5"/>
      <c r="K204" s="5"/>
      <c r="L204" s="5"/>
      <c r="M204" s="5"/>
      <c r="N204" s="5"/>
      <c r="O204" s="5"/>
      <c r="P204" s="553">
        <f t="shared" si="5"/>
        <v>0</v>
      </c>
      <c r="Q204" s="821"/>
      <c r="R204" s="5"/>
    </row>
    <row r="205" spans="1:18" x14ac:dyDescent="0.35">
      <c r="A205" s="88" t="s">
        <v>188</v>
      </c>
      <c r="B205" s="266" t="s">
        <v>13</v>
      </c>
      <c r="C205" s="154"/>
      <c r="D205" s="154"/>
      <c r="E205" s="5"/>
      <c r="F205" s="5"/>
      <c r="G205" s="5"/>
      <c r="H205" s="5"/>
      <c r="I205" s="5"/>
      <c r="J205" s="5"/>
      <c r="K205" s="5"/>
      <c r="L205" s="5"/>
      <c r="M205" s="5"/>
      <c r="N205" s="5"/>
      <c r="O205" s="5"/>
      <c r="P205" s="553">
        <f t="shared" si="5"/>
        <v>0</v>
      </c>
      <c r="Q205" s="821"/>
      <c r="R205" s="5"/>
    </row>
    <row r="206" spans="1:18" x14ac:dyDescent="0.35">
      <c r="A206" s="88" t="s">
        <v>189</v>
      </c>
      <c r="B206" s="266" t="s">
        <v>13</v>
      </c>
      <c r="C206" s="154"/>
      <c r="D206" s="5"/>
      <c r="E206" s="5"/>
      <c r="F206" s="5"/>
      <c r="G206" s="5"/>
      <c r="H206" s="5"/>
      <c r="I206" s="5"/>
      <c r="J206" s="5"/>
      <c r="K206" s="5"/>
      <c r="L206" s="5"/>
      <c r="M206" s="5"/>
      <c r="N206" s="5"/>
      <c r="O206" s="5"/>
      <c r="P206" s="553">
        <f t="shared" si="5"/>
        <v>0</v>
      </c>
      <c r="Q206" s="821"/>
      <c r="R206" s="5"/>
    </row>
    <row r="207" spans="1:18" x14ac:dyDescent="0.35">
      <c r="A207" s="88" t="s">
        <v>190</v>
      </c>
      <c r="B207" s="266" t="s">
        <v>13</v>
      </c>
      <c r="C207" s="154"/>
      <c r="D207" s="5"/>
      <c r="E207" s="5"/>
      <c r="F207" s="5"/>
      <c r="G207" s="5"/>
      <c r="H207" s="5"/>
      <c r="I207" s="5"/>
      <c r="J207" s="5"/>
      <c r="K207" s="5"/>
      <c r="L207" s="5"/>
      <c r="M207" s="5"/>
      <c r="N207" s="5"/>
      <c r="O207" s="5"/>
      <c r="P207" s="553">
        <f t="shared" si="5"/>
        <v>0</v>
      </c>
      <c r="Q207" s="821"/>
      <c r="R207" s="5"/>
    </row>
    <row r="208" spans="1:18" x14ac:dyDescent="0.35">
      <c r="A208" s="37" t="s">
        <v>191</v>
      </c>
      <c r="B208" s="266" t="s">
        <v>13</v>
      </c>
      <c r="C208" s="154"/>
      <c r="D208" s="5"/>
      <c r="E208" s="5"/>
      <c r="F208" s="5"/>
      <c r="G208" s="5"/>
      <c r="H208" s="5"/>
      <c r="I208" s="5"/>
      <c r="J208" s="5"/>
      <c r="K208" s="5"/>
      <c r="L208" s="5"/>
      <c r="M208" s="5"/>
      <c r="N208" s="5"/>
      <c r="O208" s="5"/>
      <c r="P208" s="553">
        <f t="shared" si="5"/>
        <v>0</v>
      </c>
      <c r="Q208" s="821"/>
      <c r="R208" s="5"/>
    </row>
    <row r="209" spans="1:19" x14ac:dyDescent="0.35">
      <c r="A209" s="37" t="s">
        <v>192</v>
      </c>
      <c r="B209" s="266" t="s">
        <v>13</v>
      </c>
      <c r="C209" s="154"/>
      <c r="D209" s="5"/>
      <c r="E209" s="5"/>
      <c r="F209" s="5"/>
      <c r="G209" s="5"/>
      <c r="H209" s="5"/>
      <c r="I209" s="5"/>
      <c r="J209" s="5"/>
      <c r="K209" s="5"/>
      <c r="L209" s="5"/>
      <c r="M209" s="5"/>
      <c r="N209" s="5"/>
      <c r="O209" s="5"/>
      <c r="P209" s="553">
        <f t="shared" si="5"/>
        <v>0</v>
      </c>
      <c r="Q209" s="821"/>
      <c r="R209" s="5"/>
    </row>
    <row r="210" spans="1:19" x14ac:dyDescent="0.35">
      <c r="A210" s="37" t="s">
        <v>193</v>
      </c>
      <c r="B210" s="266" t="s">
        <v>13</v>
      </c>
      <c r="C210" s="154"/>
      <c r="D210" s="5"/>
      <c r="E210" s="5"/>
      <c r="F210" s="5"/>
      <c r="G210" s="5"/>
      <c r="H210" s="5"/>
      <c r="I210" s="5"/>
      <c r="J210" s="5"/>
      <c r="K210" s="5"/>
      <c r="L210" s="5"/>
      <c r="M210" s="5"/>
      <c r="N210" s="5"/>
      <c r="O210" s="5"/>
      <c r="P210" s="553">
        <f t="shared" si="5"/>
        <v>0</v>
      </c>
      <c r="Q210" s="440"/>
      <c r="R210" s="5"/>
    </row>
    <row r="211" spans="1:19" x14ac:dyDescent="0.35">
      <c r="A211" s="37" t="s">
        <v>194</v>
      </c>
      <c r="B211" s="266" t="s">
        <v>13</v>
      </c>
      <c r="C211" s="154"/>
      <c r="D211" s="5"/>
      <c r="E211" s="5"/>
      <c r="F211" s="5"/>
      <c r="G211" s="5"/>
      <c r="H211" s="5"/>
      <c r="I211" s="5"/>
      <c r="J211" s="5"/>
      <c r="K211" s="5"/>
      <c r="L211" s="5"/>
      <c r="M211" s="5"/>
      <c r="N211" s="5"/>
      <c r="O211" s="5"/>
      <c r="P211" s="553">
        <f t="shared" si="5"/>
        <v>0</v>
      </c>
      <c r="Q211" s="440"/>
      <c r="R211" s="5"/>
    </row>
    <row r="212" spans="1:19" x14ac:dyDescent="0.35">
      <c r="A212" s="37" t="s">
        <v>195</v>
      </c>
      <c r="B212" s="266" t="s">
        <v>13</v>
      </c>
      <c r="C212" s="154"/>
      <c r="D212" s="5"/>
      <c r="E212" s="5"/>
      <c r="F212" s="5"/>
      <c r="G212" s="5"/>
      <c r="H212" s="5"/>
      <c r="I212" s="5"/>
      <c r="J212" s="5"/>
      <c r="K212" s="5"/>
      <c r="L212" s="5"/>
      <c r="M212" s="5"/>
      <c r="N212" s="5"/>
      <c r="O212" s="5"/>
      <c r="P212" s="553">
        <f t="shared" si="5"/>
        <v>0</v>
      </c>
      <c r="Q212" s="440"/>
      <c r="R212" s="5"/>
    </row>
    <row r="213" spans="1:19" x14ac:dyDescent="0.35">
      <c r="A213" s="58" t="s">
        <v>838</v>
      </c>
      <c r="B213" s="68"/>
      <c r="C213" s="111"/>
      <c r="D213" s="111"/>
      <c r="E213" s="111"/>
      <c r="F213" s="111"/>
      <c r="G213" s="111"/>
      <c r="H213" s="111"/>
      <c r="I213" s="111"/>
      <c r="J213" s="111"/>
      <c r="K213" s="111"/>
      <c r="L213" s="111"/>
      <c r="M213" s="111"/>
      <c r="N213" s="111"/>
      <c r="O213" s="111"/>
      <c r="P213" s="556"/>
      <c r="Q213" s="221"/>
      <c r="R213" s="111"/>
    </row>
    <row r="214" spans="1:19" x14ac:dyDescent="0.35">
      <c r="A214" s="37" t="s">
        <v>839</v>
      </c>
      <c r="B214" s="266" t="s">
        <v>13</v>
      </c>
      <c r="C214" s="154"/>
      <c r="D214" s="5"/>
      <c r="E214" s="5"/>
      <c r="F214" s="5"/>
      <c r="G214" s="5"/>
      <c r="H214" s="5"/>
      <c r="I214" s="5"/>
      <c r="J214" s="5"/>
      <c r="K214" s="5"/>
      <c r="L214" s="5"/>
      <c r="M214" s="5"/>
      <c r="N214" s="5"/>
      <c r="O214" s="5"/>
      <c r="P214" s="553">
        <f t="shared" si="5"/>
        <v>0</v>
      </c>
      <c r="Q214" s="440"/>
      <c r="R214" s="5"/>
    </row>
    <row r="215" spans="1:19" x14ac:dyDescent="0.35">
      <c r="A215" s="37" t="s">
        <v>81</v>
      </c>
      <c r="B215" s="266" t="s">
        <v>13</v>
      </c>
      <c r="C215" s="154"/>
      <c r="D215" s="5"/>
      <c r="E215" s="5"/>
      <c r="F215" s="5"/>
      <c r="G215" s="5"/>
      <c r="H215" s="5"/>
      <c r="I215" s="5"/>
      <c r="J215" s="5"/>
      <c r="K215" s="5"/>
      <c r="L215" s="5"/>
      <c r="M215" s="5"/>
      <c r="N215" s="5"/>
      <c r="O215" s="5"/>
      <c r="P215" s="553">
        <f t="shared" si="5"/>
        <v>0</v>
      </c>
      <c r="Q215" s="440"/>
      <c r="R215" s="5"/>
    </row>
    <row r="216" spans="1:19" ht="47" x14ac:dyDescent="0.35">
      <c r="A216" s="441" t="s">
        <v>840</v>
      </c>
      <c r="B216" s="442"/>
      <c r="C216" s="5"/>
      <c r="D216" s="5"/>
      <c r="E216" s="5"/>
      <c r="F216" s="5"/>
      <c r="G216" s="5"/>
      <c r="H216" s="5"/>
      <c r="I216" s="5"/>
      <c r="J216" s="5"/>
      <c r="K216" s="5"/>
      <c r="L216" s="5"/>
      <c r="M216" s="5"/>
      <c r="N216" s="5"/>
      <c r="O216" s="5"/>
      <c r="P216" s="5"/>
      <c r="Q216" s="11"/>
      <c r="R216" s="5"/>
    </row>
    <row r="217" spans="1:19" x14ac:dyDescent="0.35">
      <c r="A217" s="795" t="s">
        <v>57</v>
      </c>
      <c r="B217" s="796"/>
      <c r="C217" s="796"/>
      <c r="D217" s="796"/>
      <c r="E217" s="796"/>
      <c r="F217" s="796"/>
      <c r="G217" s="796"/>
      <c r="H217" s="796"/>
      <c r="I217" s="796"/>
      <c r="J217" s="796"/>
      <c r="K217" s="796"/>
      <c r="L217" s="796"/>
      <c r="M217" s="796"/>
      <c r="N217" s="796"/>
      <c r="O217" s="797"/>
      <c r="P217" s="134"/>
      <c r="Q217" s="439"/>
    </row>
    <row r="218" spans="1:19" x14ac:dyDescent="0.35">
      <c r="A218" s="78" t="s">
        <v>786</v>
      </c>
      <c r="B218" s="59" t="s">
        <v>788</v>
      </c>
      <c r="C218" s="131">
        <v>44562</v>
      </c>
      <c r="D218" s="131">
        <v>44593</v>
      </c>
      <c r="E218" s="131">
        <v>44621</v>
      </c>
      <c r="F218" s="131">
        <v>44652</v>
      </c>
      <c r="G218" s="131">
        <v>44682</v>
      </c>
      <c r="H218" s="131">
        <v>44713</v>
      </c>
      <c r="I218" s="131">
        <v>44743</v>
      </c>
      <c r="J218" s="131">
        <v>44774</v>
      </c>
      <c r="K218" s="131">
        <v>44805</v>
      </c>
      <c r="L218" s="131">
        <v>44835</v>
      </c>
      <c r="M218" s="131">
        <v>44866</v>
      </c>
      <c r="N218" s="131">
        <v>44896</v>
      </c>
      <c r="O218" s="159" t="s">
        <v>550</v>
      </c>
      <c r="P218" s="161" t="s">
        <v>789</v>
      </c>
      <c r="Q218" s="111" t="s">
        <v>790</v>
      </c>
    </row>
    <row r="219" spans="1:19" ht="15" customHeight="1" x14ac:dyDescent="0.35">
      <c r="A219" s="26" t="s">
        <v>106</v>
      </c>
      <c r="B219" s="792" t="s">
        <v>841</v>
      </c>
      <c r="C219" s="804"/>
      <c r="D219" s="804"/>
      <c r="E219" s="804"/>
      <c r="F219" s="804"/>
      <c r="G219" s="804"/>
      <c r="H219" s="804"/>
      <c r="I219" s="804"/>
      <c r="J219" s="804"/>
      <c r="K219" s="804"/>
      <c r="L219" s="804"/>
      <c r="M219" s="804"/>
      <c r="N219" s="804"/>
      <c r="O219" s="163">
        <f>SUM(C219:N219)</f>
        <v>0</v>
      </c>
      <c r="P219" s="806"/>
      <c r="Q219" s="802"/>
    </row>
    <row r="220" spans="1:19" ht="43.5" x14ac:dyDescent="0.35">
      <c r="A220" s="26" t="s">
        <v>842</v>
      </c>
      <c r="B220" s="792"/>
      <c r="C220" s="804"/>
      <c r="D220" s="804"/>
      <c r="E220" s="804"/>
      <c r="F220" s="804"/>
      <c r="G220" s="804"/>
      <c r="H220" s="804"/>
      <c r="I220" s="804"/>
      <c r="J220" s="804"/>
      <c r="K220" s="804"/>
      <c r="L220" s="804"/>
      <c r="M220" s="804"/>
      <c r="N220" s="804"/>
      <c r="O220" s="163">
        <f t="shared" ref="O220:O247" si="6">SUM(C220:N220)</f>
        <v>0</v>
      </c>
      <c r="P220" s="806"/>
      <c r="Q220" s="802"/>
    </row>
    <row r="221" spans="1:19" x14ac:dyDescent="0.35">
      <c r="A221" s="26" t="s">
        <v>131</v>
      </c>
      <c r="B221" s="792"/>
      <c r="C221" s="804"/>
      <c r="D221" s="804"/>
      <c r="E221" s="804"/>
      <c r="F221" s="804"/>
      <c r="G221" s="804"/>
      <c r="H221" s="804"/>
      <c r="I221" s="804"/>
      <c r="J221" s="804"/>
      <c r="K221" s="804"/>
      <c r="L221" s="804"/>
      <c r="M221" s="804"/>
      <c r="N221" s="804"/>
      <c r="O221" s="163">
        <f t="shared" si="6"/>
        <v>0</v>
      </c>
      <c r="P221" s="806"/>
      <c r="Q221" s="802"/>
    </row>
    <row r="222" spans="1:19" x14ac:dyDescent="0.35">
      <c r="A222" s="26" t="s">
        <v>133</v>
      </c>
      <c r="B222" s="792"/>
      <c r="C222" s="804"/>
      <c r="D222" s="804"/>
      <c r="E222" s="804"/>
      <c r="F222" s="804"/>
      <c r="G222" s="804"/>
      <c r="H222" s="804"/>
      <c r="I222" s="804"/>
      <c r="J222" s="804"/>
      <c r="K222" s="804"/>
      <c r="L222" s="804"/>
      <c r="M222" s="804"/>
      <c r="N222" s="804"/>
      <c r="O222" s="163">
        <f t="shared" si="6"/>
        <v>0</v>
      </c>
      <c r="P222" s="806"/>
      <c r="Q222" s="802"/>
    </row>
    <row r="223" spans="1:19" ht="29" x14ac:dyDescent="0.35">
      <c r="A223" s="26" t="s">
        <v>135</v>
      </c>
      <c r="B223" s="792"/>
      <c r="C223" s="804"/>
      <c r="D223" s="804"/>
      <c r="E223" s="804"/>
      <c r="F223" s="804"/>
      <c r="G223" s="804"/>
      <c r="H223" s="804"/>
      <c r="I223" s="804"/>
      <c r="J223" s="804"/>
      <c r="K223" s="804"/>
      <c r="L223" s="804"/>
      <c r="M223" s="804"/>
      <c r="N223" s="804"/>
      <c r="O223" s="163">
        <f t="shared" si="6"/>
        <v>0</v>
      </c>
      <c r="P223" s="806"/>
      <c r="Q223" s="802"/>
    </row>
    <row r="224" spans="1:19" ht="29" x14ac:dyDescent="0.35">
      <c r="A224" s="26" t="s">
        <v>136</v>
      </c>
      <c r="B224" s="792"/>
      <c r="C224" s="804"/>
      <c r="D224" s="804"/>
      <c r="E224" s="804"/>
      <c r="F224" s="804"/>
      <c r="G224" s="804"/>
      <c r="H224" s="804"/>
      <c r="I224" s="804"/>
      <c r="J224" s="804"/>
      <c r="K224" s="804"/>
      <c r="L224" s="804"/>
      <c r="M224" s="804"/>
      <c r="N224" s="804"/>
      <c r="O224" s="163">
        <f t="shared" si="6"/>
        <v>0</v>
      </c>
      <c r="P224" s="806"/>
      <c r="Q224" s="802"/>
      <c r="R224" s="1"/>
      <c r="S224" s="167"/>
    </row>
    <row r="225" spans="1:19" ht="29" x14ac:dyDescent="0.35">
      <c r="A225" s="26" t="s">
        <v>138</v>
      </c>
      <c r="B225" s="792"/>
      <c r="C225" s="804"/>
      <c r="D225" s="804"/>
      <c r="E225" s="804"/>
      <c r="F225" s="804"/>
      <c r="G225" s="804"/>
      <c r="H225" s="804"/>
      <c r="I225" s="804"/>
      <c r="J225" s="804"/>
      <c r="K225" s="804"/>
      <c r="L225" s="804"/>
      <c r="M225" s="804"/>
      <c r="N225" s="804"/>
      <c r="O225" s="163">
        <f t="shared" si="6"/>
        <v>0</v>
      </c>
      <c r="P225" s="806"/>
      <c r="Q225" s="802"/>
    </row>
    <row r="226" spans="1:19" ht="29" x14ac:dyDescent="0.35">
      <c r="A226" s="26" t="s">
        <v>139</v>
      </c>
      <c r="B226" s="792"/>
      <c r="C226" s="804"/>
      <c r="D226" s="804"/>
      <c r="E226" s="804"/>
      <c r="F226" s="804"/>
      <c r="G226" s="804"/>
      <c r="H226" s="804"/>
      <c r="I226" s="804"/>
      <c r="J226" s="804"/>
      <c r="K226" s="804"/>
      <c r="L226" s="804"/>
      <c r="M226" s="804"/>
      <c r="N226" s="804"/>
      <c r="O226" s="163">
        <f t="shared" si="6"/>
        <v>0</v>
      </c>
      <c r="P226" s="806"/>
      <c r="Q226" s="802"/>
    </row>
    <row r="227" spans="1:19" ht="29" x14ac:dyDescent="0.35">
      <c r="A227" s="26" t="s">
        <v>843</v>
      </c>
      <c r="B227" s="792"/>
      <c r="C227" s="804"/>
      <c r="D227" s="804"/>
      <c r="E227" s="804"/>
      <c r="F227" s="804"/>
      <c r="G227" s="804"/>
      <c r="H227" s="804"/>
      <c r="I227" s="804"/>
      <c r="J227" s="804"/>
      <c r="K227" s="804"/>
      <c r="L227" s="804"/>
      <c r="M227" s="804"/>
      <c r="N227" s="804"/>
      <c r="O227" s="163">
        <f t="shared" si="6"/>
        <v>0</v>
      </c>
      <c r="P227" s="806"/>
      <c r="Q227" s="802"/>
      <c r="S227" s="145"/>
    </row>
    <row r="228" spans="1:19" ht="29" x14ac:dyDescent="0.35">
      <c r="A228" s="26" t="s">
        <v>143</v>
      </c>
      <c r="B228" s="792"/>
      <c r="C228" s="804"/>
      <c r="D228" s="804"/>
      <c r="E228" s="804"/>
      <c r="F228" s="804"/>
      <c r="G228" s="804"/>
      <c r="H228" s="804"/>
      <c r="I228" s="804"/>
      <c r="J228" s="804"/>
      <c r="K228" s="804"/>
      <c r="L228" s="804"/>
      <c r="M228" s="804"/>
      <c r="N228" s="804"/>
      <c r="O228" s="163">
        <f t="shared" si="6"/>
        <v>0</v>
      </c>
      <c r="P228" s="806"/>
      <c r="Q228" s="802"/>
    </row>
    <row r="229" spans="1:19" x14ac:dyDescent="0.35">
      <c r="A229" s="26" t="s">
        <v>231</v>
      </c>
      <c r="B229" s="792"/>
      <c r="C229" s="804"/>
      <c r="D229" s="804"/>
      <c r="E229" s="804"/>
      <c r="F229" s="804"/>
      <c r="G229" s="804"/>
      <c r="H229" s="804"/>
      <c r="I229" s="804"/>
      <c r="J229" s="804"/>
      <c r="K229" s="804"/>
      <c r="L229" s="804"/>
      <c r="M229" s="804"/>
      <c r="N229" s="804"/>
      <c r="O229" s="163">
        <f t="shared" si="6"/>
        <v>0</v>
      </c>
      <c r="P229" s="806"/>
      <c r="Q229" s="802"/>
    </row>
    <row r="230" spans="1:19" x14ac:dyDescent="0.35">
      <c r="A230" s="26" t="s">
        <v>232</v>
      </c>
      <c r="B230" s="792"/>
      <c r="C230" s="804"/>
      <c r="D230" s="804"/>
      <c r="E230" s="804"/>
      <c r="F230" s="804"/>
      <c r="G230" s="804"/>
      <c r="H230" s="804"/>
      <c r="I230" s="804"/>
      <c r="J230" s="804"/>
      <c r="K230" s="804"/>
      <c r="L230" s="804"/>
      <c r="M230" s="804"/>
      <c r="N230" s="804"/>
      <c r="O230" s="163">
        <f t="shared" si="6"/>
        <v>0</v>
      </c>
      <c r="P230" s="806"/>
      <c r="Q230" s="802"/>
      <c r="R230" s="1"/>
    </row>
    <row r="231" spans="1:19" ht="29" x14ac:dyDescent="0.35">
      <c r="A231" s="26" t="s">
        <v>146</v>
      </c>
      <c r="B231" s="792"/>
      <c r="C231" s="804"/>
      <c r="D231" s="804"/>
      <c r="E231" s="804"/>
      <c r="F231" s="804"/>
      <c r="G231" s="804"/>
      <c r="H231" s="804"/>
      <c r="I231" s="804"/>
      <c r="J231" s="804"/>
      <c r="K231" s="804"/>
      <c r="L231" s="804"/>
      <c r="M231" s="804"/>
      <c r="N231" s="804"/>
      <c r="O231" s="163">
        <f t="shared" si="6"/>
        <v>0</v>
      </c>
      <c r="P231" s="806"/>
      <c r="Q231" s="802"/>
      <c r="R231" s="1"/>
    </row>
    <row r="232" spans="1:19" ht="29" x14ac:dyDescent="0.35">
      <c r="A232" s="26" t="s">
        <v>147</v>
      </c>
      <c r="B232" s="792"/>
      <c r="C232" s="804"/>
      <c r="D232" s="804"/>
      <c r="E232" s="804"/>
      <c r="F232" s="804"/>
      <c r="G232" s="804"/>
      <c r="H232" s="804"/>
      <c r="I232" s="804"/>
      <c r="J232" s="804"/>
      <c r="K232" s="804"/>
      <c r="L232" s="804"/>
      <c r="M232" s="804"/>
      <c r="N232" s="804"/>
      <c r="O232" s="163">
        <f t="shared" si="6"/>
        <v>0</v>
      </c>
      <c r="P232" s="806"/>
      <c r="Q232" s="802"/>
    </row>
    <row r="233" spans="1:19" ht="29" x14ac:dyDescent="0.35">
      <c r="A233" s="26" t="s">
        <v>148</v>
      </c>
      <c r="B233" s="792"/>
      <c r="C233" s="804"/>
      <c r="D233" s="804"/>
      <c r="E233" s="804"/>
      <c r="F233" s="804"/>
      <c r="G233" s="804"/>
      <c r="H233" s="804"/>
      <c r="I233" s="804"/>
      <c r="J233" s="804"/>
      <c r="K233" s="804"/>
      <c r="L233" s="804"/>
      <c r="M233" s="804"/>
      <c r="N233" s="804"/>
      <c r="O233" s="163">
        <f t="shared" si="6"/>
        <v>0</v>
      </c>
      <c r="P233" s="806"/>
      <c r="Q233" s="802"/>
    </row>
    <row r="234" spans="1:19" ht="29" x14ac:dyDescent="0.35">
      <c r="A234" s="26" t="s">
        <v>150</v>
      </c>
      <c r="B234" s="792"/>
      <c r="C234" s="804"/>
      <c r="D234" s="804"/>
      <c r="E234" s="804"/>
      <c r="F234" s="804"/>
      <c r="G234" s="804"/>
      <c r="H234" s="804"/>
      <c r="I234" s="804"/>
      <c r="J234" s="804"/>
      <c r="K234" s="804"/>
      <c r="L234" s="804"/>
      <c r="M234" s="804"/>
      <c r="N234" s="804"/>
      <c r="O234" s="163">
        <f t="shared" si="6"/>
        <v>0</v>
      </c>
      <c r="P234" s="806"/>
      <c r="Q234" s="802"/>
    </row>
    <row r="235" spans="1:19" ht="29" x14ac:dyDescent="0.35">
      <c r="A235" s="26" t="s">
        <v>151</v>
      </c>
      <c r="B235" s="792"/>
      <c r="C235" s="804"/>
      <c r="D235" s="804"/>
      <c r="E235" s="804"/>
      <c r="F235" s="804"/>
      <c r="G235" s="804"/>
      <c r="H235" s="804"/>
      <c r="I235" s="804"/>
      <c r="J235" s="804"/>
      <c r="K235" s="804"/>
      <c r="L235" s="804"/>
      <c r="M235" s="804"/>
      <c r="N235" s="804"/>
      <c r="O235" s="163">
        <f t="shared" si="6"/>
        <v>0</v>
      </c>
      <c r="P235" s="806"/>
      <c r="Q235" s="802"/>
    </row>
    <row r="236" spans="1:19" ht="29" x14ac:dyDescent="0.35">
      <c r="A236" s="26" t="s">
        <v>152</v>
      </c>
      <c r="B236" s="792"/>
      <c r="C236" s="804"/>
      <c r="D236" s="804"/>
      <c r="E236" s="804"/>
      <c r="F236" s="804"/>
      <c r="G236" s="804"/>
      <c r="H236" s="804"/>
      <c r="I236" s="804"/>
      <c r="J236" s="804"/>
      <c r="K236" s="804"/>
      <c r="L236" s="804"/>
      <c r="M236" s="804"/>
      <c r="N236" s="804"/>
      <c r="O236" s="163">
        <f t="shared" si="6"/>
        <v>0</v>
      </c>
      <c r="P236" s="806"/>
      <c r="Q236" s="802"/>
    </row>
    <row r="237" spans="1:19" ht="29" x14ac:dyDescent="0.35">
      <c r="A237" s="26" t="s">
        <v>153</v>
      </c>
      <c r="B237" s="792"/>
      <c r="C237" s="804"/>
      <c r="D237" s="804"/>
      <c r="E237" s="804"/>
      <c r="F237" s="804"/>
      <c r="G237" s="804"/>
      <c r="H237" s="804"/>
      <c r="I237" s="804"/>
      <c r="J237" s="804"/>
      <c r="K237" s="804"/>
      <c r="L237" s="804"/>
      <c r="M237" s="804"/>
      <c r="N237" s="804"/>
      <c r="O237" s="163">
        <f t="shared" si="6"/>
        <v>0</v>
      </c>
      <c r="P237" s="806"/>
      <c r="Q237" s="802"/>
    </row>
    <row r="238" spans="1:19" ht="29" x14ac:dyDescent="0.35">
      <c r="A238" s="26" t="s">
        <v>154</v>
      </c>
      <c r="B238" s="792"/>
      <c r="C238" s="804"/>
      <c r="D238" s="804"/>
      <c r="E238" s="804"/>
      <c r="F238" s="804"/>
      <c r="G238" s="804"/>
      <c r="H238" s="804"/>
      <c r="I238" s="804"/>
      <c r="J238" s="804"/>
      <c r="K238" s="804"/>
      <c r="L238" s="804"/>
      <c r="M238" s="804"/>
      <c r="N238" s="804"/>
      <c r="O238" s="163">
        <f t="shared" si="6"/>
        <v>0</v>
      </c>
      <c r="P238" s="806"/>
      <c r="Q238" s="802"/>
      <c r="S238" s="145"/>
    </row>
    <row r="239" spans="1:19" ht="29" x14ac:dyDescent="0.35">
      <c r="A239" s="26" t="s">
        <v>844</v>
      </c>
      <c r="B239" s="792"/>
      <c r="C239" s="804"/>
      <c r="D239" s="804"/>
      <c r="E239" s="804"/>
      <c r="F239" s="804"/>
      <c r="G239" s="804"/>
      <c r="H239" s="804"/>
      <c r="I239" s="804"/>
      <c r="J239" s="804"/>
      <c r="K239" s="804"/>
      <c r="L239" s="804"/>
      <c r="M239" s="804"/>
      <c r="N239" s="804"/>
      <c r="O239" s="163">
        <f t="shared" si="6"/>
        <v>0</v>
      </c>
      <c r="P239" s="806"/>
      <c r="Q239" s="802"/>
      <c r="S239" s="145"/>
    </row>
    <row r="240" spans="1:19" x14ac:dyDescent="0.35">
      <c r="A240" s="26" t="s">
        <v>156</v>
      </c>
      <c r="B240" s="792"/>
      <c r="C240" s="804"/>
      <c r="D240" s="804"/>
      <c r="E240" s="804"/>
      <c r="F240" s="804"/>
      <c r="G240" s="804"/>
      <c r="H240" s="804"/>
      <c r="I240" s="804"/>
      <c r="J240" s="804"/>
      <c r="K240" s="804"/>
      <c r="L240" s="804"/>
      <c r="M240" s="804"/>
      <c r="N240" s="804"/>
      <c r="O240" s="163">
        <f t="shared" si="6"/>
        <v>0</v>
      </c>
      <c r="P240" s="802"/>
      <c r="Q240" s="802"/>
    </row>
    <row r="241" spans="1:19" ht="29" x14ac:dyDescent="0.35">
      <c r="A241" s="26" t="s">
        <v>157</v>
      </c>
      <c r="B241" s="792"/>
      <c r="C241" s="804"/>
      <c r="D241" s="804"/>
      <c r="E241" s="804"/>
      <c r="F241" s="804"/>
      <c r="G241" s="804"/>
      <c r="H241" s="804"/>
      <c r="I241" s="804"/>
      <c r="J241" s="804"/>
      <c r="K241" s="804"/>
      <c r="L241" s="804"/>
      <c r="M241" s="804"/>
      <c r="N241" s="804"/>
      <c r="O241" s="163">
        <f t="shared" si="6"/>
        <v>0</v>
      </c>
      <c r="P241" s="806"/>
      <c r="Q241" s="802"/>
    </row>
    <row r="242" spans="1:19" ht="29" x14ac:dyDescent="0.35">
      <c r="A242" s="26" t="s">
        <v>158</v>
      </c>
      <c r="B242" s="792"/>
      <c r="C242" s="804"/>
      <c r="D242" s="804"/>
      <c r="E242" s="804"/>
      <c r="F242" s="804"/>
      <c r="G242" s="804"/>
      <c r="H242" s="804"/>
      <c r="I242" s="804"/>
      <c r="J242" s="804"/>
      <c r="K242" s="804"/>
      <c r="L242" s="804"/>
      <c r="M242" s="804"/>
      <c r="N242" s="804"/>
      <c r="O242" s="163">
        <f t="shared" si="6"/>
        <v>0</v>
      </c>
      <c r="P242" s="806"/>
      <c r="Q242" s="802"/>
    </row>
    <row r="243" spans="1:19" ht="29" x14ac:dyDescent="0.35">
      <c r="A243" s="26" t="s">
        <v>159</v>
      </c>
      <c r="B243" s="792"/>
      <c r="C243" s="804"/>
      <c r="D243" s="804"/>
      <c r="E243" s="804"/>
      <c r="F243" s="804"/>
      <c r="G243" s="804"/>
      <c r="H243" s="804"/>
      <c r="I243" s="804"/>
      <c r="J243" s="804"/>
      <c r="K243" s="804"/>
      <c r="L243" s="804"/>
      <c r="M243" s="804"/>
      <c r="N243" s="804"/>
      <c r="O243" s="163">
        <f t="shared" si="6"/>
        <v>0</v>
      </c>
      <c r="P243" s="806"/>
      <c r="Q243" s="802"/>
    </row>
    <row r="244" spans="1:19" ht="29" x14ac:dyDescent="0.35">
      <c r="A244" s="26" t="s">
        <v>160</v>
      </c>
      <c r="B244" s="792"/>
      <c r="C244" s="804"/>
      <c r="D244" s="804"/>
      <c r="E244" s="804"/>
      <c r="F244" s="804"/>
      <c r="G244" s="804"/>
      <c r="H244" s="804"/>
      <c r="I244" s="804"/>
      <c r="J244" s="804"/>
      <c r="K244" s="804"/>
      <c r="L244" s="804"/>
      <c r="M244" s="804"/>
      <c r="N244" s="804"/>
      <c r="O244" s="163">
        <f t="shared" si="6"/>
        <v>0</v>
      </c>
      <c r="P244" s="806"/>
      <c r="Q244" s="802"/>
    </row>
    <row r="245" spans="1:19" x14ac:dyDescent="0.35">
      <c r="A245" s="26" t="s">
        <v>161</v>
      </c>
      <c r="B245" s="792"/>
      <c r="C245" s="804"/>
      <c r="D245" s="804"/>
      <c r="E245" s="804"/>
      <c r="F245" s="804"/>
      <c r="G245" s="804"/>
      <c r="H245" s="804"/>
      <c r="I245" s="804"/>
      <c r="J245" s="804"/>
      <c r="K245" s="804"/>
      <c r="L245" s="804"/>
      <c r="M245" s="804"/>
      <c r="N245" s="804"/>
      <c r="O245" s="163">
        <f t="shared" si="6"/>
        <v>0</v>
      </c>
      <c r="P245" s="806"/>
      <c r="Q245" s="802"/>
    </row>
    <row r="246" spans="1:19" x14ac:dyDescent="0.35">
      <c r="A246" s="26" t="s">
        <v>162</v>
      </c>
      <c r="B246" s="792"/>
      <c r="C246" s="804"/>
      <c r="D246" s="804"/>
      <c r="E246" s="804"/>
      <c r="F246" s="804"/>
      <c r="G246" s="804"/>
      <c r="H246" s="804"/>
      <c r="I246" s="804"/>
      <c r="J246" s="804"/>
      <c r="K246" s="804"/>
      <c r="L246" s="804"/>
      <c r="M246" s="804"/>
      <c r="N246" s="804"/>
      <c r="O246" s="163">
        <f t="shared" si="6"/>
        <v>0</v>
      </c>
      <c r="P246" s="806"/>
      <c r="Q246" s="802"/>
    </row>
    <row r="247" spans="1:19" ht="29" x14ac:dyDescent="0.35">
      <c r="A247" s="26" t="s">
        <v>163</v>
      </c>
      <c r="B247" s="792"/>
      <c r="C247" s="804"/>
      <c r="D247" s="804"/>
      <c r="E247" s="804"/>
      <c r="F247" s="804"/>
      <c r="G247" s="804"/>
      <c r="H247" s="804"/>
      <c r="I247" s="804"/>
      <c r="J247" s="804"/>
      <c r="K247" s="804"/>
      <c r="L247" s="804"/>
      <c r="M247" s="804"/>
      <c r="N247" s="804"/>
      <c r="O247" s="163">
        <f t="shared" si="6"/>
        <v>0</v>
      </c>
      <c r="P247" s="806"/>
      <c r="Q247" s="802"/>
    </row>
    <row r="248" spans="1:19" x14ac:dyDescent="0.35">
      <c r="A248" s="87" t="s">
        <v>59</v>
      </c>
      <c r="B248" s="36"/>
      <c r="C248" s="133"/>
      <c r="D248" s="133"/>
      <c r="E248" s="133"/>
      <c r="F248" s="133"/>
      <c r="G248" s="133"/>
      <c r="H248" s="133"/>
      <c r="I248" s="133"/>
      <c r="J248" s="133"/>
      <c r="K248" s="133"/>
      <c r="L248" s="133"/>
      <c r="M248" s="133"/>
      <c r="N248" s="133"/>
      <c r="O248" s="168"/>
      <c r="P248" s="133"/>
      <c r="Q248" s="169"/>
    </row>
    <row r="249" spans="1:19" x14ac:dyDescent="0.35">
      <c r="A249" s="78" t="s">
        <v>786</v>
      </c>
      <c r="B249" s="59" t="s">
        <v>788</v>
      </c>
      <c r="C249" s="131">
        <v>44562</v>
      </c>
      <c r="D249" s="131">
        <v>44593</v>
      </c>
      <c r="E249" s="131">
        <v>44621</v>
      </c>
      <c r="F249" s="131">
        <v>44652</v>
      </c>
      <c r="G249" s="131">
        <v>44682</v>
      </c>
      <c r="H249" s="131">
        <v>44713</v>
      </c>
      <c r="I249" s="131">
        <v>44743</v>
      </c>
      <c r="J249" s="131">
        <v>44774</v>
      </c>
      <c r="K249" s="131">
        <v>44805</v>
      </c>
      <c r="L249" s="131">
        <v>44835</v>
      </c>
      <c r="M249" s="131">
        <v>44866</v>
      </c>
      <c r="N249" s="131">
        <v>44896</v>
      </c>
      <c r="O249" s="163" t="s">
        <v>550</v>
      </c>
      <c r="P249" s="161" t="s">
        <v>789</v>
      </c>
      <c r="Q249" s="111" t="s">
        <v>790</v>
      </c>
      <c r="S249" s="145"/>
    </row>
    <row r="250" spans="1:19" x14ac:dyDescent="0.35">
      <c r="A250" s="88"/>
      <c r="B250" s="91" t="s">
        <v>841</v>
      </c>
      <c r="C250" s="226"/>
      <c r="D250" s="226"/>
      <c r="E250" s="226"/>
      <c r="F250" s="226"/>
      <c r="G250" s="226"/>
      <c r="H250" s="226"/>
      <c r="I250" s="226"/>
      <c r="J250" s="226"/>
      <c r="K250" s="226"/>
      <c r="L250" s="226"/>
      <c r="M250" s="226"/>
      <c r="N250" s="226"/>
      <c r="O250" s="557">
        <f>SUM(C250:N250)</f>
        <v>0</v>
      </c>
      <c r="P250" s="804"/>
      <c r="Q250" s="802"/>
      <c r="S250" s="145"/>
    </row>
    <row r="251" spans="1:19" x14ac:dyDescent="0.35">
      <c r="A251" s="87" t="s">
        <v>73</v>
      </c>
      <c r="B251" s="36"/>
      <c r="C251" s="133"/>
      <c r="D251" s="133"/>
      <c r="E251" s="133"/>
      <c r="F251" s="133"/>
      <c r="G251" s="133"/>
      <c r="H251" s="133"/>
      <c r="I251" s="133"/>
      <c r="J251" s="133"/>
      <c r="K251" s="133"/>
      <c r="L251" s="133"/>
      <c r="M251" s="133"/>
      <c r="N251" s="133"/>
      <c r="O251" s="168"/>
      <c r="P251" s="151"/>
      <c r="Q251" s="133"/>
      <c r="S251" s="145"/>
    </row>
    <row r="252" spans="1:19" x14ac:dyDescent="0.35">
      <c r="A252" s="78" t="s">
        <v>786</v>
      </c>
      <c r="B252" s="59" t="s">
        <v>788</v>
      </c>
      <c r="C252" s="131">
        <v>44562</v>
      </c>
      <c r="D252" s="131">
        <v>44593</v>
      </c>
      <c r="E252" s="131">
        <v>44621</v>
      </c>
      <c r="F252" s="131">
        <v>44652</v>
      </c>
      <c r="G252" s="131">
        <v>44682</v>
      </c>
      <c r="H252" s="131">
        <v>44713</v>
      </c>
      <c r="I252" s="131">
        <v>44743</v>
      </c>
      <c r="J252" s="131">
        <v>44774</v>
      </c>
      <c r="K252" s="131">
        <v>44805</v>
      </c>
      <c r="L252" s="131">
        <v>44835</v>
      </c>
      <c r="M252" s="131">
        <v>44866</v>
      </c>
      <c r="N252" s="131">
        <v>44896</v>
      </c>
      <c r="O252" s="163" t="s">
        <v>550</v>
      </c>
      <c r="P252" s="161" t="s">
        <v>789</v>
      </c>
      <c r="Q252" s="111" t="s">
        <v>790</v>
      </c>
    </row>
    <row r="253" spans="1:19" x14ac:dyDescent="0.35">
      <c r="A253" s="90" t="s">
        <v>233</v>
      </c>
      <c r="B253" s="789" t="s">
        <v>841</v>
      </c>
      <c r="C253" s="822"/>
      <c r="D253" s="822"/>
      <c r="E253" s="822"/>
      <c r="F253" s="822"/>
      <c r="G253" s="822"/>
      <c r="H253" s="822"/>
      <c r="I253" s="822"/>
      <c r="J253" s="822"/>
      <c r="K253" s="822"/>
      <c r="L253" s="822"/>
      <c r="M253" s="822"/>
      <c r="N253" s="822"/>
      <c r="O253" s="557">
        <f>SUM(C253:N253)</f>
        <v>0</v>
      </c>
      <c r="P253" s="806"/>
      <c r="Q253" s="802"/>
      <c r="R253" s="1"/>
      <c r="S253" s="167"/>
    </row>
    <row r="254" spans="1:19" x14ac:dyDescent="0.35">
      <c r="A254" s="90" t="s">
        <v>845</v>
      </c>
      <c r="B254" s="790"/>
      <c r="C254" s="822"/>
      <c r="D254" s="822"/>
      <c r="E254" s="822"/>
      <c r="F254" s="822"/>
      <c r="G254" s="822"/>
      <c r="H254" s="822"/>
      <c r="I254" s="822"/>
      <c r="J254" s="822"/>
      <c r="K254" s="822"/>
      <c r="L254" s="822"/>
      <c r="M254" s="822"/>
      <c r="N254" s="822"/>
      <c r="O254" s="557">
        <f t="shared" ref="O254:O261" si="7">SUM(C254:N254)</f>
        <v>0</v>
      </c>
      <c r="P254" s="806"/>
      <c r="Q254" s="802"/>
      <c r="R254" s="1"/>
      <c r="S254" s="167"/>
    </row>
    <row r="255" spans="1:19" x14ac:dyDescent="0.35">
      <c r="A255" s="90" t="s">
        <v>846</v>
      </c>
      <c r="B255" s="790"/>
      <c r="C255" s="822"/>
      <c r="D255" s="822"/>
      <c r="E255" s="822"/>
      <c r="F255" s="822"/>
      <c r="G255" s="822"/>
      <c r="H255" s="822"/>
      <c r="I255" s="822"/>
      <c r="J255" s="822"/>
      <c r="K255" s="822"/>
      <c r="L255" s="822"/>
      <c r="M255" s="822"/>
      <c r="N255" s="822"/>
      <c r="O255" s="557">
        <f t="shared" si="7"/>
        <v>0</v>
      </c>
      <c r="P255" s="806"/>
      <c r="Q255" s="802"/>
      <c r="R255" s="1"/>
      <c r="S255" s="167"/>
    </row>
    <row r="256" spans="1:19" x14ac:dyDescent="0.35">
      <c r="A256" s="90" t="s">
        <v>847</v>
      </c>
      <c r="B256" s="790"/>
      <c r="C256" s="822"/>
      <c r="D256" s="822"/>
      <c r="E256" s="822"/>
      <c r="F256" s="822"/>
      <c r="G256" s="822"/>
      <c r="H256" s="822"/>
      <c r="I256" s="822"/>
      <c r="J256" s="822"/>
      <c r="K256" s="822"/>
      <c r="L256" s="822"/>
      <c r="M256" s="822"/>
      <c r="N256" s="822"/>
      <c r="O256" s="557">
        <f t="shared" si="7"/>
        <v>0</v>
      </c>
      <c r="P256" s="806"/>
      <c r="Q256" s="802"/>
    </row>
    <row r="257" spans="1:20" x14ac:dyDescent="0.35">
      <c r="A257" s="90" t="s">
        <v>237</v>
      </c>
      <c r="B257" s="790"/>
      <c r="C257" s="822"/>
      <c r="D257" s="822"/>
      <c r="E257" s="822"/>
      <c r="F257" s="822"/>
      <c r="G257" s="822"/>
      <c r="H257" s="822"/>
      <c r="I257" s="822"/>
      <c r="J257" s="822"/>
      <c r="K257" s="822"/>
      <c r="L257" s="822"/>
      <c r="M257" s="822"/>
      <c r="N257" s="822"/>
      <c r="O257" s="557">
        <f t="shared" si="7"/>
        <v>0</v>
      </c>
      <c r="P257" s="806"/>
      <c r="Q257" s="802"/>
    </row>
    <row r="258" spans="1:20" x14ac:dyDescent="0.35">
      <c r="A258" s="90" t="s">
        <v>238</v>
      </c>
      <c r="B258" s="790"/>
      <c r="C258" s="822"/>
      <c r="D258" s="822"/>
      <c r="E258" s="822"/>
      <c r="F258" s="822"/>
      <c r="G258" s="822"/>
      <c r="H258" s="822"/>
      <c r="I258" s="822"/>
      <c r="J258" s="822"/>
      <c r="K258" s="822"/>
      <c r="L258" s="822"/>
      <c r="M258" s="822"/>
      <c r="N258" s="822"/>
      <c r="O258" s="557">
        <f t="shared" si="7"/>
        <v>0</v>
      </c>
      <c r="P258" s="806"/>
      <c r="Q258" s="802"/>
    </row>
    <row r="259" spans="1:20" x14ac:dyDescent="0.35">
      <c r="A259" s="90" t="s">
        <v>239</v>
      </c>
      <c r="B259" s="790"/>
      <c r="C259" s="822"/>
      <c r="D259" s="822"/>
      <c r="E259" s="822"/>
      <c r="F259" s="822"/>
      <c r="G259" s="822"/>
      <c r="H259" s="822"/>
      <c r="I259" s="822"/>
      <c r="J259" s="822"/>
      <c r="K259" s="822"/>
      <c r="L259" s="822"/>
      <c r="M259" s="822"/>
      <c r="N259" s="822"/>
      <c r="O259" s="557">
        <f t="shared" si="7"/>
        <v>0</v>
      </c>
      <c r="P259" s="806"/>
      <c r="Q259" s="802"/>
    </row>
    <row r="260" spans="1:20" x14ac:dyDescent="0.35">
      <c r="A260" s="90" t="s">
        <v>240</v>
      </c>
      <c r="B260" s="790"/>
      <c r="C260" s="822"/>
      <c r="D260" s="822"/>
      <c r="E260" s="822"/>
      <c r="F260" s="822"/>
      <c r="G260" s="822"/>
      <c r="H260" s="822"/>
      <c r="I260" s="822"/>
      <c r="J260" s="822"/>
      <c r="K260" s="822"/>
      <c r="L260" s="822"/>
      <c r="M260" s="822"/>
      <c r="N260" s="822"/>
      <c r="O260" s="557">
        <f t="shared" si="7"/>
        <v>0</v>
      </c>
      <c r="P260" s="806"/>
      <c r="Q260" s="802"/>
      <c r="R260" s="1"/>
      <c r="S260" s="167"/>
      <c r="T260" s="167"/>
    </row>
    <row r="261" spans="1:20" x14ac:dyDescent="0.35">
      <c r="A261" s="90" t="s">
        <v>241</v>
      </c>
      <c r="B261" s="790"/>
      <c r="C261" s="822"/>
      <c r="D261" s="822"/>
      <c r="E261" s="822"/>
      <c r="F261" s="822"/>
      <c r="G261" s="822"/>
      <c r="H261" s="822"/>
      <c r="I261" s="822"/>
      <c r="J261" s="822"/>
      <c r="K261" s="822"/>
      <c r="L261" s="822"/>
      <c r="M261" s="822"/>
      <c r="N261" s="822"/>
      <c r="O261" s="557">
        <f t="shared" si="7"/>
        <v>0</v>
      </c>
      <c r="P261" s="806"/>
      <c r="Q261" s="802"/>
      <c r="R261" s="1"/>
      <c r="S261" s="167"/>
      <c r="T261" s="167"/>
    </row>
    <row r="262" spans="1:20" x14ac:dyDescent="0.35">
      <c r="A262" s="26" t="s">
        <v>242</v>
      </c>
      <c r="B262" s="791"/>
      <c r="C262" s="823"/>
      <c r="D262" s="823"/>
      <c r="E262" s="823"/>
      <c r="F262" s="823"/>
      <c r="G262" s="823"/>
      <c r="H262" s="823"/>
      <c r="I262" s="823"/>
      <c r="J262" s="823"/>
      <c r="K262" s="823"/>
      <c r="L262" s="823"/>
      <c r="M262" s="823"/>
      <c r="N262" s="823"/>
      <c r="O262" s="557">
        <f>SUM(C262:N262)</f>
        <v>0</v>
      </c>
      <c r="P262" s="806"/>
      <c r="Q262" s="802"/>
      <c r="R262" s="1"/>
      <c r="S262" s="167"/>
      <c r="T262" s="167"/>
    </row>
    <row r="263" spans="1:20" x14ac:dyDescent="0.35">
      <c r="A263" s="89" t="s">
        <v>57</v>
      </c>
      <c r="B263" s="76"/>
      <c r="C263" s="76"/>
      <c r="D263" s="76"/>
      <c r="E263" s="76"/>
      <c r="F263" s="76"/>
      <c r="G263" s="133"/>
      <c r="H263" s="133"/>
      <c r="I263" s="133"/>
      <c r="J263" s="133"/>
      <c r="K263" s="133"/>
      <c r="L263" s="133"/>
      <c r="M263" s="133"/>
      <c r="N263" s="133"/>
      <c r="O263" s="168"/>
      <c r="P263" s="133"/>
      <c r="Q263" s="169"/>
    </row>
    <row r="264" spans="1:20" x14ac:dyDescent="0.35">
      <c r="A264" s="78" t="s">
        <v>808</v>
      </c>
      <c r="B264" s="59" t="s">
        <v>788</v>
      </c>
      <c r="C264" s="131">
        <v>44562</v>
      </c>
      <c r="D264" s="131">
        <v>44593</v>
      </c>
      <c r="E264" s="131">
        <v>44621</v>
      </c>
      <c r="F264" s="131">
        <v>44652</v>
      </c>
      <c r="G264" s="131">
        <v>44682</v>
      </c>
      <c r="H264" s="131">
        <v>44713</v>
      </c>
      <c r="I264" s="131">
        <v>44743</v>
      </c>
      <c r="J264" s="131">
        <v>44774</v>
      </c>
      <c r="K264" s="131">
        <v>44805</v>
      </c>
      <c r="L264" s="131">
        <v>44835</v>
      </c>
      <c r="M264" s="131">
        <v>44866</v>
      </c>
      <c r="N264" s="131">
        <v>44896</v>
      </c>
      <c r="O264" s="163" t="s">
        <v>550</v>
      </c>
      <c r="P264" s="161" t="s">
        <v>789</v>
      </c>
      <c r="Q264" s="111" t="s">
        <v>790</v>
      </c>
    </row>
    <row r="265" spans="1:20" x14ac:dyDescent="0.35">
      <c r="A265" s="88" t="s">
        <v>85</v>
      </c>
      <c r="B265" s="777" t="s">
        <v>841</v>
      </c>
      <c r="C265" s="5"/>
      <c r="D265" s="5"/>
      <c r="E265" s="5"/>
      <c r="F265" s="5"/>
      <c r="G265" s="5"/>
      <c r="H265" s="5"/>
      <c r="I265" s="5"/>
      <c r="J265" s="5"/>
      <c r="K265" s="5"/>
      <c r="L265" s="5"/>
      <c r="M265" s="5"/>
      <c r="N265" s="5"/>
      <c r="O265" s="557">
        <f>SUM(C265:N265)</f>
        <v>0</v>
      </c>
      <c r="P265" s="442"/>
      <c r="Q265" s="11"/>
    </row>
    <row r="266" spans="1:20" x14ac:dyDescent="0.35">
      <c r="A266" s="105" t="s">
        <v>246</v>
      </c>
      <c r="B266" s="778"/>
      <c r="C266" s="803"/>
      <c r="D266" s="803"/>
      <c r="E266" s="803"/>
      <c r="F266" s="803"/>
      <c r="G266" s="804"/>
      <c r="H266" s="804"/>
      <c r="I266" s="804"/>
      <c r="J266" s="804"/>
      <c r="K266" s="804"/>
      <c r="L266" s="804"/>
      <c r="M266" s="804"/>
      <c r="N266" s="804"/>
      <c r="O266" s="557">
        <f>SUM(C266:N266)</f>
        <v>0</v>
      </c>
      <c r="P266" s="442"/>
      <c r="Q266" s="802"/>
      <c r="S266" s="145"/>
      <c r="T266" s="145"/>
    </row>
    <row r="267" spans="1:20" x14ac:dyDescent="0.35">
      <c r="A267" s="87" t="s">
        <v>210</v>
      </c>
      <c r="B267" s="106"/>
      <c r="C267" s="107"/>
      <c r="D267" s="107"/>
      <c r="E267" s="107"/>
      <c r="F267" s="107"/>
      <c r="G267" s="133"/>
      <c r="H267" s="133"/>
      <c r="I267" s="133"/>
      <c r="J267" s="133"/>
      <c r="K267" s="133"/>
      <c r="L267" s="133"/>
      <c r="M267" s="133"/>
      <c r="N267" s="133"/>
      <c r="O267" s="168"/>
      <c r="P267" s="151"/>
      <c r="Q267" s="133"/>
      <c r="S267" s="145"/>
      <c r="T267" s="145"/>
    </row>
    <row r="268" spans="1:20" x14ac:dyDescent="0.35">
      <c r="A268" s="88" t="s">
        <v>228</v>
      </c>
      <c r="B268" s="5" t="s">
        <v>841</v>
      </c>
      <c r="C268" s="5"/>
      <c r="D268" s="5"/>
      <c r="E268" s="5"/>
      <c r="F268" s="5"/>
      <c r="G268" s="5"/>
      <c r="H268" s="5"/>
      <c r="I268" s="5"/>
      <c r="J268" s="5"/>
      <c r="K268" s="5"/>
      <c r="L268" s="5"/>
      <c r="M268" s="5"/>
      <c r="N268" s="5"/>
      <c r="O268" s="557">
        <f>SUM(C268:N268)</f>
        <v>0</v>
      </c>
      <c r="P268" s="5"/>
      <c r="Q268" s="11"/>
    </row>
    <row r="269" spans="1:20" ht="47" x14ac:dyDescent="0.35">
      <c r="A269" s="86" t="s">
        <v>848</v>
      </c>
      <c r="P269" s="5"/>
      <c r="Q269" s="11"/>
    </row>
    <row r="270" spans="1:20" x14ac:dyDescent="0.35">
      <c r="A270" s="87" t="s">
        <v>849</v>
      </c>
      <c r="B270" s="77"/>
      <c r="C270" s="107"/>
      <c r="D270" s="107"/>
      <c r="E270" s="107"/>
      <c r="F270" s="107"/>
      <c r="G270" s="133"/>
      <c r="H270" s="133"/>
      <c r="I270" s="133"/>
      <c r="J270" s="133"/>
      <c r="K270" s="133"/>
      <c r="L270" s="133"/>
      <c r="M270" s="133"/>
      <c r="N270" s="133"/>
      <c r="O270" s="168"/>
      <c r="P270" s="133"/>
      <c r="Q270" s="169"/>
    </row>
    <row r="271" spans="1:20" ht="52.5" customHeight="1" x14ac:dyDescent="0.35">
      <c r="A271" s="446" t="s">
        <v>850</v>
      </c>
      <c r="B271" s="447" t="s">
        <v>761</v>
      </c>
      <c r="C271" s="451"/>
      <c r="D271" s="451"/>
      <c r="E271" s="449"/>
      <c r="F271" s="224"/>
      <c r="G271" s="224"/>
      <c r="H271" s="224"/>
      <c r="I271" s="224"/>
      <c r="J271" s="224"/>
      <c r="K271" s="224"/>
      <c r="L271" s="224"/>
      <c r="M271" s="224"/>
      <c r="N271" s="224"/>
      <c r="O271" s="159">
        <f>SUM(C271:N271)</f>
        <v>0</v>
      </c>
      <c r="P271" s="157"/>
      <c r="Q271" s="157"/>
    </row>
    <row r="272" spans="1:20" ht="16.5" x14ac:dyDescent="0.35">
      <c r="A272" s="452" t="s">
        <v>851</v>
      </c>
      <c r="B272" s="448" t="s">
        <v>761</v>
      </c>
      <c r="C272" s="451"/>
      <c r="D272" s="5"/>
      <c r="E272" s="450"/>
      <c r="F272" s="4"/>
      <c r="G272" s="4"/>
      <c r="H272" s="4"/>
      <c r="I272" s="4"/>
      <c r="J272" s="4"/>
      <c r="K272" s="4"/>
      <c r="L272" s="4"/>
      <c r="M272" s="4"/>
      <c r="N272" s="4"/>
      <c r="O272" s="159">
        <f>SUM(C272:N272)</f>
        <v>0</v>
      </c>
      <c r="P272" s="445"/>
      <c r="Q272" s="445"/>
    </row>
  </sheetData>
  <sheetProtection formatCells="0" formatColumns="0" formatRows="0" insertColumns="0" insertRows="0" insertHyperlinks="0" deleteColumns="0" deleteRows="0" sort="0" autoFilter="0" pivotTables="0"/>
  <mergeCells count="40">
    <mergeCell ref="A154:P154"/>
    <mergeCell ref="A156:A158"/>
    <mergeCell ref="A1:P1"/>
    <mergeCell ref="A159:P159"/>
    <mergeCell ref="A160:O160"/>
    <mergeCell ref="A217:O217"/>
    <mergeCell ref="A4:A8"/>
    <mergeCell ref="A9:A13"/>
    <mergeCell ref="A14:A18"/>
    <mergeCell ref="A19:A23"/>
    <mergeCell ref="A24:A28"/>
    <mergeCell ref="A29:A33"/>
    <mergeCell ref="A34:A38"/>
    <mergeCell ref="A39:A43"/>
    <mergeCell ref="A44:A48"/>
    <mergeCell ref="A49:A53"/>
    <mergeCell ref="A54:A58"/>
    <mergeCell ref="A59:A63"/>
    <mergeCell ref="B265:B266"/>
    <mergeCell ref="A2:O2"/>
    <mergeCell ref="A149:P149"/>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39:A143"/>
    <mergeCell ref="A144:A148"/>
    <mergeCell ref="B253:B262"/>
    <mergeCell ref="B219:B247"/>
  </mergeCells>
  <phoneticPr fontId="1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3F4D-D4D5-4A2B-855B-C71C9C76B5EC}">
  <dimension ref="B1:H75"/>
  <sheetViews>
    <sheetView view="pageBreakPreview" topLeftCell="A55" zoomScale="85" zoomScaleNormal="100" zoomScaleSheetLayoutView="85" workbookViewId="0">
      <selection activeCell="B1" sqref="B1:G1"/>
    </sheetView>
  </sheetViews>
  <sheetFormatPr baseColWidth="10" defaultColWidth="11.453125" defaultRowHeight="14.5" x14ac:dyDescent="0.35"/>
  <cols>
    <col min="2" max="2" width="74.7265625" customWidth="1"/>
    <col min="3" max="3" width="35.26953125" style="337" customWidth="1"/>
    <col min="4" max="4" width="14.7265625" style="337" bestFit="1" customWidth="1"/>
    <col min="5" max="6" width="11.453125" style="337"/>
    <col min="7" max="7" width="14.26953125" style="337" customWidth="1"/>
  </cols>
  <sheetData>
    <row r="1" spans="2:7" ht="44.5" customHeight="1" thickBot="1" x14ac:dyDescent="0.4">
      <c r="B1" s="655" t="s">
        <v>911</v>
      </c>
      <c r="C1" s="655"/>
      <c r="D1" s="655"/>
      <c r="E1" s="655"/>
      <c r="F1" s="655"/>
      <c r="G1" s="655"/>
    </row>
    <row r="2" spans="2:7" ht="16.5" x14ac:dyDescent="0.35">
      <c r="B2" s="511" t="s">
        <v>1</v>
      </c>
      <c r="C2" s="512" t="s">
        <v>2</v>
      </c>
      <c r="D2" s="512" t="s">
        <v>3</v>
      </c>
      <c r="E2" s="512" t="s">
        <v>4</v>
      </c>
      <c r="F2" s="512" t="s">
        <v>5</v>
      </c>
      <c r="G2" s="513" t="s">
        <v>6</v>
      </c>
    </row>
    <row r="3" spans="2:7" x14ac:dyDescent="0.35">
      <c r="B3" s="514" t="s">
        <v>7</v>
      </c>
      <c r="C3" s="589">
        <f>C4+C10+C14</f>
        <v>0</v>
      </c>
      <c r="D3" s="506">
        <f>D4+D10+D14</f>
        <v>0</v>
      </c>
      <c r="E3" s="589">
        <f>E4+E10+E14</f>
        <v>0</v>
      </c>
      <c r="F3" s="591" t="s">
        <v>8</v>
      </c>
      <c r="G3" s="575">
        <f>G4+G10+G14+G19</f>
        <v>5.07</v>
      </c>
    </row>
    <row r="4" spans="2:7" x14ac:dyDescent="0.35">
      <c r="B4" s="515" t="s">
        <v>9</v>
      </c>
      <c r="C4" s="583">
        <f>SUM(C5:C9)</f>
        <v>0</v>
      </c>
      <c r="D4" s="504">
        <f>SUM(D5:D9)</f>
        <v>0</v>
      </c>
      <c r="E4" s="583">
        <f>SUM(E5:E9)</f>
        <v>0</v>
      </c>
      <c r="F4" s="592" t="s">
        <v>8</v>
      </c>
      <c r="G4" s="576">
        <f>SUM(G5:G9)</f>
        <v>0</v>
      </c>
    </row>
    <row r="5" spans="2:7" x14ac:dyDescent="0.35">
      <c r="B5" s="516" t="s">
        <v>10</v>
      </c>
      <c r="C5" s="582">
        <f>(' Scope 1'!D5)/1000000</f>
        <v>0</v>
      </c>
      <c r="D5" s="503">
        <f>(' Scope 1'!E5)/1000000</f>
        <v>0</v>
      </c>
      <c r="E5" s="582">
        <f>(' Scope 1'!F5)/1000000</f>
        <v>0</v>
      </c>
      <c r="F5" s="592" t="s">
        <v>8</v>
      </c>
      <c r="G5" s="577">
        <f>' Scope 1'!H5</f>
        <v>0</v>
      </c>
    </row>
    <row r="6" spans="2:7" x14ac:dyDescent="0.35">
      <c r="B6" s="516" t="s">
        <v>11</v>
      </c>
      <c r="C6" s="582">
        <f>(' Scope 1'!D6)/1000000</f>
        <v>0</v>
      </c>
      <c r="D6" s="503">
        <f>(' Scope 1'!E6)/1000000</f>
        <v>0</v>
      </c>
      <c r="E6" s="582">
        <f>(' Scope 1'!F6)/1000000</f>
        <v>0</v>
      </c>
      <c r="F6" s="592" t="s">
        <v>8</v>
      </c>
      <c r="G6" s="577">
        <f>' Scope 1'!H6</f>
        <v>0</v>
      </c>
    </row>
    <row r="7" spans="2:7" x14ac:dyDescent="0.35">
      <c r="B7" s="516" t="s">
        <v>12</v>
      </c>
      <c r="C7" s="582">
        <f>(' Scope 1'!D7)/1000000</f>
        <v>0</v>
      </c>
      <c r="D7" s="503">
        <f>(' Scope 1'!E7)/1000000</f>
        <v>0</v>
      </c>
      <c r="E7" s="582">
        <f>(' Scope 1'!F7)/1000000</f>
        <v>0</v>
      </c>
      <c r="F7" s="592" t="s">
        <v>8</v>
      </c>
      <c r="G7" s="577">
        <f>' Scope 1'!H7</f>
        <v>0</v>
      </c>
    </row>
    <row r="8" spans="2:7" x14ac:dyDescent="0.35">
      <c r="B8" s="516" t="s">
        <v>13</v>
      </c>
      <c r="C8" s="582">
        <f>(' Scope 1'!D8)/1000000</f>
        <v>0</v>
      </c>
      <c r="D8" s="503">
        <f>(' Scope 1'!E8)/1000000</f>
        <v>0</v>
      </c>
      <c r="E8" s="582">
        <f>(' Scope 1'!F8)/1000000</f>
        <v>0</v>
      </c>
      <c r="F8" s="592" t="s">
        <v>8</v>
      </c>
      <c r="G8" s="577">
        <f>' Scope 1'!H8</f>
        <v>0</v>
      </c>
    </row>
    <row r="9" spans="2:7" x14ac:dyDescent="0.35">
      <c r="B9" s="516" t="s">
        <v>14</v>
      </c>
      <c r="C9" s="590" t="s">
        <v>8</v>
      </c>
      <c r="D9" s="507" t="s">
        <v>8</v>
      </c>
      <c r="E9" s="590" t="s">
        <v>8</v>
      </c>
      <c r="F9" s="592">
        <v>0</v>
      </c>
      <c r="G9" s="578">
        <v>0</v>
      </c>
    </row>
    <row r="10" spans="2:7" x14ac:dyDescent="0.35">
      <c r="B10" s="515" t="s">
        <v>15</v>
      </c>
      <c r="C10" s="583">
        <f>SUM(C11:C13)</f>
        <v>0</v>
      </c>
      <c r="D10" s="504">
        <f>SUM(D11:D13)</f>
        <v>0</v>
      </c>
      <c r="E10" s="583">
        <f>SUM(E11:E13)</f>
        <v>0</v>
      </c>
      <c r="F10" s="593" t="s">
        <v>8</v>
      </c>
      <c r="G10" s="576">
        <f t="shared" ref="G10" si="0">SUM(G11:G13)</f>
        <v>0</v>
      </c>
    </row>
    <row r="11" spans="2:7" x14ac:dyDescent="0.35">
      <c r="B11" s="516" t="s">
        <v>10</v>
      </c>
      <c r="C11" s="582">
        <f>(' Scope 1'!D317)/1000000</f>
        <v>0</v>
      </c>
      <c r="D11" s="503">
        <f>(' Scope 1'!E317)/1000000</f>
        <v>0</v>
      </c>
      <c r="E11" s="582">
        <f>(' Scope 1'!F317)/1000000</f>
        <v>0</v>
      </c>
      <c r="F11" s="594" t="s">
        <v>8</v>
      </c>
      <c r="G11" s="577">
        <f>' Scope 1'!H317</f>
        <v>0</v>
      </c>
    </row>
    <row r="12" spans="2:7" x14ac:dyDescent="0.35">
      <c r="B12" s="516" t="s">
        <v>16</v>
      </c>
      <c r="C12" s="582">
        <f>(' Scope 1'!D318)/1000000</f>
        <v>0</v>
      </c>
      <c r="D12" s="503">
        <f>(' Scope 1'!E318)/1000000</f>
        <v>0</v>
      </c>
      <c r="E12" s="582">
        <f>(' Scope 1'!F318)/1000000</f>
        <v>0</v>
      </c>
      <c r="F12" s="594" t="s">
        <v>8</v>
      </c>
      <c r="G12" s="577">
        <f>' Scope 1'!H318</f>
        <v>0</v>
      </c>
    </row>
    <row r="13" spans="2:7" x14ac:dyDescent="0.35">
      <c r="B13" s="516" t="s">
        <v>13</v>
      </c>
      <c r="C13" s="582">
        <f>(' Scope 1'!D319)/1000000</f>
        <v>0</v>
      </c>
      <c r="D13" s="503">
        <f>(' Scope 1'!E319)/1000000</f>
        <v>0</v>
      </c>
      <c r="E13" s="582">
        <f>(' Scope 1'!F319)/1000000</f>
        <v>0</v>
      </c>
      <c r="F13" s="594" t="s">
        <v>8</v>
      </c>
      <c r="G13" s="577">
        <f>' Scope 1'!H319</f>
        <v>0</v>
      </c>
    </row>
    <row r="14" spans="2:7" x14ac:dyDescent="0.35">
      <c r="B14" s="515" t="s">
        <v>17</v>
      </c>
      <c r="C14" s="583">
        <f>SUM(C15:C17)</f>
        <v>0</v>
      </c>
      <c r="D14" s="504">
        <f>SUM(D15:D17)</f>
        <v>0</v>
      </c>
      <c r="E14" s="583">
        <f>SUM(E15:E17)</f>
        <v>0</v>
      </c>
      <c r="F14" s="593">
        <f>SUM(F15:F17)</f>
        <v>3.9000000000000003E-3</v>
      </c>
      <c r="G14" s="576">
        <f>SUM(G15:G17)</f>
        <v>5.07</v>
      </c>
    </row>
    <row r="15" spans="2:7" x14ac:dyDescent="0.35">
      <c r="B15" s="516" t="s">
        <v>18</v>
      </c>
      <c r="C15" s="582">
        <f>(' Scope 1'!D275)/1000000</f>
        <v>0</v>
      </c>
      <c r="D15" s="503">
        <f>(' Scope 1'!E275)/1000000</f>
        <v>0</v>
      </c>
      <c r="E15" s="582">
        <f>(' Scope 1'!F275)/1000000</f>
        <v>0</v>
      </c>
      <c r="F15" s="594" t="s">
        <v>8</v>
      </c>
      <c r="G15" s="577">
        <f>' Scope 1'!H275</f>
        <v>0</v>
      </c>
    </row>
    <row r="16" spans="2:7" x14ac:dyDescent="0.35">
      <c r="B16" s="516" t="s">
        <v>13</v>
      </c>
      <c r="C16" s="582">
        <f>(' Scope 1'!D277)/1000000</f>
        <v>0</v>
      </c>
      <c r="D16" s="503">
        <f>(' Scope 1'!E277)/1000000</f>
        <v>0</v>
      </c>
      <c r="E16" s="582">
        <f>(' Scope 1'!F277)/1000000</f>
        <v>0</v>
      </c>
      <c r="F16" s="594" t="s">
        <v>8</v>
      </c>
      <c r="G16" s="577">
        <f>' Scope 1'!H277</f>
        <v>0</v>
      </c>
    </row>
    <row r="17" spans="2:7" x14ac:dyDescent="0.35">
      <c r="B17" s="516" t="s">
        <v>14</v>
      </c>
      <c r="C17" s="590" t="str">
        <f>' Scope 1'!D279</f>
        <v>N/A</v>
      </c>
      <c r="D17" s="507" t="str">
        <f>' Scope 1'!E279</f>
        <v>N/A</v>
      </c>
      <c r="E17" s="590" t="str">
        <f>' Scope 1'!F279</f>
        <v>N/A</v>
      </c>
      <c r="F17" s="594">
        <f>' Scope 1'!G279</f>
        <v>3.9000000000000003E-3</v>
      </c>
      <c r="G17" s="577">
        <f>' Scope 1'!H279</f>
        <v>5.07</v>
      </c>
    </row>
    <row r="18" spans="2:7" x14ac:dyDescent="0.35">
      <c r="B18" s="517" t="s">
        <v>19</v>
      </c>
      <c r="C18" s="508"/>
      <c r="D18" s="508"/>
      <c r="E18" s="508"/>
      <c r="F18" s="508"/>
      <c r="G18" s="518"/>
    </row>
    <row r="19" spans="2:7" x14ac:dyDescent="0.35">
      <c r="B19" s="515" t="s">
        <v>20</v>
      </c>
      <c r="C19" s="583">
        <f>SUM(C20:C26)</f>
        <v>0</v>
      </c>
      <c r="D19" s="504">
        <f>SUM(D20:D26)</f>
        <v>0</v>
      </c>
      <c r="E19" s="583">
        <f>SUM(E20:E26)</f>
        <v>0</v>
      </c>
      <c r="F19" s="593">
        <f t="shared" ref="F19" si="1">SUM(F20:F26)</f>
        <v>0</v>
      </c>
      <c r="G19" s="576">
        <f>SUM(G20:G26)</f>
        <v>0</v>
      </c>
    </row>
    <row r="20" spans="2:7" x14ac:dyDescent="0.35">
      <c r="B20" s="516" t="s">
        <v>21</v>
      </c>
      <c r="C20" s="582">
        <f>(' Scope 1'!D284)/1000000</f>
        <v>0</v>
      </c>
      <c r="D20" s="503">
        <f>(' Scope 1'!E282)/1000000</f>
        <v>0</v>
      </c>
      <c r="E20" s="582">
        <f>(' Scope 1'!F282)/1000000</f>
        <v>0</v>
      </c>
      <c r="F20" s="594" t="s">
        <v>8</v>
      </c>
      <c r="G20" s="577">
        <f>' Scope 1'!H282</f>
        <v>0</v>
      </c>
    </row>
    <row r="21" spans="2:7" x14ac:dyDescent="0.35">
      <c r="B21" s="516" t="s">
        <v>22</v>
      </c>
      <c r="C21" s="582">
        <f>(' Scope 1'!D283)/1000000</f>
        <v>0</v>
      </c>
      <c r="D21" s="503">
        <f>(' Scope 1'!E283)/1000000</f>
        <v>0</v>
      </c>
      <c r="E21" s="582">
        <f>(' Scope 1'!F283)/1000000</f>
        <v>0</v>
      </c>
      <c r="F21" s="594" t="s">
        <v>8</v>
      </c>
      <c r="G21" s="577">
        <f>' Scope 1'!H283</f>
        <v>0</v>
      </c>
    </row>
    <row r="22" spans="2:7" x14ac:dyDescent="0.35">
      <c r="B22" s="516" t="s">
        <v>23</v>
      </c>
      <c r="C22" s="582">
        <f>(' Scope 1'!D286)/1000000</f>
        <v>0</v>
      </c>
      <c r="D22" s="503">
        <f>(' Scope 1'!E286)/1000000</f>
        <v>0</v>
      </c>
      <c r="E22" s="582">
        <f>(' Scope 1'!F286)/1000000</f>
        <v>0</v>
      </c>
      <c r="F22" s="594" t="str">
        <f>' Scope 1'!G294</f>
        <v>N/A</v>
      </c>
      <c r="G22" s="577">
        <f>' Scope 1'!H286</f>
        <v>0</v>
      </c>
    </row>
    <row r="23" spans="2:7" x14ac:dyDescent="0.35">
      <c r="B23" s="516" t="s">
        <v>24</v>
      </c>
      <c r="C23" s="582">
        <f>(' Scope 1'!D291)/1000000</f>
        <v>0</v>
      </c>
      <c r="D23" s="503">
        <f>(' Scope 1'!E291)/1000000</f>
        <v>0</v>
      </c>
      <c r="E23" s="582">
        <f>(' Scope 1'!F291)/1000000</f>
        <v>0</v>
      </c>
      <c r="F23" s="594" t="str">
        <f>' Scope 1'!G295</f>
        <v>N/A</v>
      </c>
      <c r="G23" s="577">
        <f>' Scope 1'!H291</f>
        <v>0</v>
      </c>
    </row>
    <row r="24" spans="2:7" x14ac:dyDescent="0.35">
      <c r="B24" s="516" t="s">
        <v>25</v>
      </c>
      <c r="C24" s="582">
        <f>(' Scope 1'!D296)/1000000</f>
        <v>0</v>
      </c>
      <c r="D24" s="503">
        <f>(' Scope 1'!E296)/1000000</f>
        <v>0</v>
      </c>
      <c r="E24" s="582">
        <f>(' Scope 1'!F296)/1000000</f>
        <v>0</v>
      </c>
      <c r="F24" s="594" t="s">
        <v>8</v>
      </c>
      <c r="G24" s="577">
        <f>' Scope 1'!H296</f>
        <v>0</v>
      </c>
    </row>
    <row r="25" spans="2:7" x14ac:dyDescent="0.35">
      <c r="B25" s="516" t="s">
        <v>26</v>
      </c>
      <c r="C25" s="582">
        <f>(' Scope 1'!D301)/1000000</f>
        <v>0</v>
      </c>
      <c r="D25" s="503">
        <f>(' Scope 1'!E301)/1000000</f>
        <v>0</v>
      </c>
      <c r="E25" s="582">
        <f>(' Scope 1'!F301)/1000000</f>
        <v>0</v>
      </c>
      <c r="F25" s="594" t="str">
        <f>' Scope 1'!G297</f>
        <v>N/A</v>
      </c>
      <c r="G25" s="577">
        <f>' Scope 1'!H301</f>
        <v>0</v>
      </c>
    </row>
    <row r="26" spans="2:7" x14ac:dyDescent="0.35">
      <c r="B26" s="516" t="s">
        <v>27</v>
      </c>
      <c r="C26" s="582">
        <f>(' Scope 1'!D311)/1000000</f>
        <v>0</v>
      </c>
      <c r="D26" s="503">
        <f>(' Scope 1'!E311)/100000</f>
        <v>0</v>
      </c>
      <c r="E26" s="582">
        <f>(' Scope 1'!F311/1000000)</f>
        <v>0</v>
      </c>
      <c r="F26" s="594" t="str">
        <f>' Scope 1'!G298</f>
        <v>N/A</v>
      </c>
      <c r="G26" s="577">
        <f>' Scope 1'!H311</f>
        <v>0</v>
      </c>
    </row>
    <row r="27" spans="2:7" x14ac:dyDescent="0.35">
      <c r="B27" s="519" t="s">
        <v>28</v>
      </c>
      <c r="C27" s="509"/>
      <c r="D27" s="509"/>
      <c r="E27" s="509"/>
      <c r="F27" s="591">
        <v>0</v>
      </c>
      <c r="G27" s="575">
        <f>G28+G30+G32</f>
        <v>0</v>
      </c>
    </row>
    <row r="28" spans="2:7" x14ac:dyDescent="0.35">
      <c r="B28" s="520" t="s">
        <v>9</v>
      </c>
      <c r="C28" s="505"/>
      <c r="D28" s="505"/>
      <c r="E28" s="505"/>
      <c r="F28" s="595" t="s">
        <v>8</v>
      </c>
      <c r="G28" s="576">
        <f t="shared" ref="G28" si="2">G29</f>
        <v>0</v>
      </c>
    </row>
    <row r="29" spans="2:7" x14ac:dyDescent="0.35">
      <c r="B29" s="516" t="s">
        <v>29</v>
      </c>
      <c r="C29" s="510"/>
      <c r="D29" s="510"/>
      <c r="E29" s="510"/>
      <c r="F29" s="596" t="s">
        <v>8</v>
      </c>
      <c r="G29" s="577">
        <f>'Scope 2'!D5</f>
        <v>0</v>
      </c>
    </row>
    <row r="30" spans="2:7" x14ac:dyDescent="0.35">
      <c r="B30" s="520" t="s">
        <v>15</v>
      </c>
      <c r="C30" s="505"/>
      <c r="D30" s="505"/>
      <c r="E30" s="505"/>
      <c r="F30" s="595" t="s">
        <v>8</v>
      </c>
      <c r="G30" s="576">
        <f t="shared" ref="G30" si="3">G31</f>
        <v>0</v>
      </c>
    </row>
    <row r="31" spans="2:7" x14ac:dyDescent="0.35">
      <c r="B31" s="516" t="s">
        <v>29</v>
      </c>
      <c r="C31" s="510"/>
      <c r="D31" s="510"/>
      <c r="E31" s="510"/>
      <c r="F31" s="596" t="s">
        <v>8</v>
      </c>
      <c r="G31" s="577">
        <f>'Scope 2'!D65</f>
        <v>0</v>
      </c>
    </row>
    <row r="32" spans="2:7" x14ac:dyDescent="0.35">
      <c r="B32" s="515" t="s">
        <v>30</v>
      </c>
      <c r="C32" s="505"/>
      <c r="D32" s="505"/>
      <c r="E32" s="505"/>
      <c r="F32" s="595" t="s">
        <v>8</v>
      </c>
      <c r="G32" s="576">
        <f>G33</f>
        <v>0</v>
      </c>
    </row>
    <row r="33" spans="2:8" x14ac:dyDescent="0.35">
      <c r="B33" s="516" t="s">
        <v>29</v>
      </c>
      <c r="C33" s="510"/>
      <c r="D33" s="510"/>
      <c r="E33" s="510"/>
      <c r="F33" s="596" t="s">
        <v>8</v>
      </c>
      <c r="G33" s="577">
        <f>'Scope 2'!D66</f>
        <v>0</v>
      </c>
    </row>
    <row r="34" spans="2:8" ht="15" thickBot="1" x14ac:dyDescent="0.4">
      <c r="B34" s="521" t="s">
        <v>31</v>
      </c>
      <c r="C34" s="522">
        <f>C3+C27</f>
        <v>0</v>
      </c>
      <c r="D34" s="522">
        <f>D3+D27</f>
        <v>0</v>
      </c>
      <c r="E34" s="522">
        <f>E3+E27</f>
        <v>0</v>
      </c>
      <c r="F34" s="597">
        <v>0</v>
      </c>
      <c r="G34" s="611">
        <f>G3+G27</f>
        <v>5.07</v>
      </c>
    </row>
    <row r="35" spans="2:8" x14ac:dyDescent="0.35">
      <c r="B35" s="44"/>
      <c r="C35" s="333"/>
      <c r="D35" s="333"/>
      <c r="E35" s="333"/>
      <c r="F35" s="333"/>
      <c r="G35" s="333"/>
    </row>
    <row r="36" spans="2:8" x14ac:dyDescent="0.35">
      <c r="B36" s="44"/>
      <c r="C36" s="333"/>
      <c r="D36" s="333"/>
      <c r="E36" s="333"/>
      <c r="F36" s="333"/>
      <c r="G36" s="333"/>
    </row>
    <row r="37" spans="2:8" ht="15" customHeight="1" x14ac:dyDescent="0.35">
      <c r="B37" s="653" t="s">
        <v>32</v>
      </c>
      <c r="C37" s="653"/>
      <c r="D37" s="653"/>
      <c r="E37" s="653"/>
      <c r="F37" s="653"/>
      <c r="G37" s="334"/>
    </row>
    <row r="38" spans="2:8" ht="15" thickBot="1" x14ac:dyDescent="0.4">
      <c r="B38" s="654"/>
      <c r="C38" s="654"/>
      <c r="D38" s="654"/>
      <c r="E38" s="654"/>
      <c r="F38" s="654"/>
      <c r="G38" s="334"/>
    </row>
    <row r="39" spans="2:8" ht="16.5" x14ac:dyDescent="0.35">
      <c r="B39" s="45" t="s">
        <v>1</v>
      </c>
      <c r="C39" s="335" t="s">
        <v>2</v>
      </c>
      <c r="D39" s="335" t="s">
        <v>3</v>
      </c>
      <c r="E39" s="335" t="s">
        <v>4</v>
      </c>
      <c r="F39" s="335" t="s">
        <v>5</v>
      </c>
      <c r="G39" s="336" t="s">
        <v>6</v>
      </c>
      <c r="H39" s="9"/>
    </row>
    <row r="40" spans="2:8" x14ac:dyDescent="0.35">
      <c r="B40" s="46" t="s">
        <v>33</v>
      </c>
      <c r="C40" s="579">
        <f>C41+C46+C51+C54+C57</f>
        <v>0</v>
      </c>
      <c r="D40" s="579" t="e">
        <f>D41+D46+D51+D54+D57</f>
        <v>#VALUE!</v>
      </c>
      <c r="E40" s="579" t="e">
        <f>E41+E46+E51+E54+E57</f>
        <v>#VALUE!</v>
      </c>
      <c r="F40" s="598">
        <v>0</v>
      </c>
      <c r="G40" s="579" t="e">
        <f>G41+G46+G51+G54+G57</f>
        <v>#VALUE!</v>
      </c>
      <c r="H40" s="9"/>
    </row>
    <row r="41" spans="2:8" x14ac:dyDescent="0.35">
      <c r="B41" s="39" t="s">
        <v>34</v>
      </c>
      <c r="C41" s="580">
        <f>SUM(C42:C45)</f>
        <v>0</v>
      </c>
      <c r="D41" s="580">
        <f>SUM(D42:D45)</f>
        <v>0</v>
      </c>
      <c r="E41" s="580">
        <f>(SUM(E42:E45))</f>
        <v>0</v>
      </c>
      <c r="F41" s="599" t="s">
        <v>8</v>
      </c>
      <c r="G41" s="580">
        <f t="shared" ref="G41" si="4">SUM(G42:G45)</f>
        <v>0</v>
      </c>
      <c r="H41" s="9"/>
    </row>
    <row r="42" spans="2:8" x14ac:dyDescent="0.35">
      <c r="B42" s="272" t="s">
        <v>10</v>
      </c>
      <c r="C42" s="10">
        <f>(' Scope 1'!D326)/1000000</f>
        <v>0</v>
      </c>
      <c r="D42" s="10">
        <f>(' Scope 1'!E326)/1000000</f>
        <v>0</v>
      </c>
      <c r="E42" s="10">
        <f>(' Scope 1'!F326)/1000000</f>
        <v>0</v>
      </c>
      <c r="F42" s="600" t="s">
        <v>8</v>
      </c>
      <c r="G42" s="10">
        <f>' Scope 1'!H326</f>
        <v>0</v>
      </c>
      <c r="H42" s="9"/>
    </row>
    <row r="43" spans="2:8" x14ac:dyDescent="0.35">
      <c r="B43" s="272" t="s">
        <v>12</v>
      </c>
      <c r="C43" s="10">
        <f>(' Scope 1'!D328)/1000000</f>
        <v>0</v>
      </c>
      <c r="D43" s="10">
        <f>(' Scope 1'!E328)/1000000</f>
        <v>0</v>
      </c>
      <c r="E43" s="10">
        <f>(' Scope 1'!F328)/1000000</f>
        <v>0</v>
      </c>
      <c r="F43" s="600" t="s">
        <v>8</v>
      </c>
      <c r="G43" s="10">
        <f>' Scope 1'!H328</f>
        <v>0</v>
      </c>
      <c r="H43" s="9"/>
    </row>
    <row r="44" spans="2:8" x14ac:dyDescent="0.35">
      <c r="B44" s="272" t="s">
        <v>35</v>
      </c>
      <c r="C44" s="10">
        <v>0</v>
      </c>
      <c r="D44" s="10">
        <f>(' Scope 1'!E329)/1000000</f>
        <v>0</v>
      </c>
      <c r="E44" s="10">
        <f>(' Scope 1'!F329)/1000000</f>
        <v>0</v>
      </c>
      <c r="F44" s="600" t="s">
        <v>8</v>
      </c>
      <c r="G44" s="10">
        <f>' Scope 1'!H329</f>
        <v>0</v>
      </c>
      <c r="H44" s="9"/>
    </row>
    <row r="45" spans="2:8" x14ac:dyDescent="0.35">
      <c r="B45" s="272" t="s">
        <v>36</v>
      </c>
      <c r="C45" s="10">
        <f>(' Scope 1'!D327)/1000000</f>
        <v>0</v>
      </c>
      <c r="D45" s="10">
        <f>(' Scope 1'!E327)/1000000</f>
        <v>0</v>
      </c>
      <c r="E45" s="10">
        <f>(' Scope 1'!F327)/1000000</f>
        <v>0</v>
      </c>
      <c r="F45" s="600" t="s">
        <v>8</v>
      </c>
      <c r="G45" s="10">
        <f>' Scope 1'!H327</f>
        <v>0</v>
      </c>
      <c r="H45" s="9"/>
    </row>
    <row r="46" spans="2:8" x14ac:dyDescent="0.35">
      <c r="B46" s="39" t="s">
        <v>37</v>
      </c>
      <c r="C46" s="580">
        <f>SUM(C47:C50)</f>
        <v>0</v>
      </c>
      <c r="D46" s="580">
        <f t="shared" ref="D46:G46" si="5">SUM(D47:D50)</f>
        <v>0</v>
      </c>
      <c r="E46" s="580">
        <f t="shared" si="5"/>
        <v>0</v>
      </c>
      <c r="F46" s="599" t="s">
        <v>8</v>
      </c>
      <c r="G46" s="580">
        <f t="shared" si="5"/>
        <v>0</v>
      </c>
      <c r="H46" s="9"/>
    </row>
    <row r="47" spans="2:8" x14ac:dyDescent="0.35">
      <c r="B47" s="272" t="s">
        <v>10</v>
      </c>
      <c r="C47" s="10">
        <f>(' Scope 1'!D331)/1000000</f>
        <v>0</v>
      </c>
      <c r="D47" s="10">
        <f>(' Scope 1'!E331)/1000000</f>
        <v>0</v>
      </c>
      <c r="E47" s="10">
        <f>(' Scope 1'!F331)/1000000</f>
        <v>0</v>
      </c>
      <c r="F47" s="600" t="s">
        <v>8</v>
      </c>
      <c r="G47" s="10">
        <f>' Scope 1'!H331</f>
        <v>0</v>
      </c>
      <c r="H47" s="9"/>
    </row>
    <row r="48" spans="2:8" x14ac:dyDescent="0.35">
      <c r="B48" s="272" t="s">
        <v>38</v>
      </c>
      <c r="C48" s="10">
        <f>(' Scope 1'!D332)/1000000</f>
        <v>0</v>
      </c>
      <c r="D48" s="10">
        <f>(' Scope 1'!E332)/1000000</f>
        <v>0</v>
      </c>
      <c r="E48" s="10">
        <f>(' Scope 1'!F332)/1000000</f>
        <v>0</v>
      </c>
      <c r="F48" s="600" t="s">
        <v>8</v>
      </c>
      <c r="G48" s="581">
        <f>' Scope 1'!H332</f>
        <v>0</v>
      </c>
      <c r="H48" s="9"/>
    </row>
    <row r="49" spans="2:8" x14ac:dyDescent="0.35">
      <c r="B49" s="272" t="s">
        <v>39</v>
      </c>
      <c r="C49" s="10">
        <f>(' Scope 1'!D333)/1000000</f>
        <v>0</v>
      </c>
      <c r="D49" s="10">
        <f>(' Scope 1'!E333)/1000000</f>
        <v>0</v>
      </c>
      <c r="E49" s="10">
        <f>(' Scope 1'!F333)/1000000</f>
        <v>0</v>
      </c>
      <c r="F49" s="601" t="s">
        <v>8</v>
      </c>
      <c r="G49" s="582">
        <f>' Scope 1'!H333</f>
        <v>0</v>
      </c>
      <c r="H49" s="9"/>
    </row>
    <row r="50" spans="2:8" x14ac:dyDescent="0.35">
      <c r="B50" s="272" t="s">
        <v>36</v>
      </c>
      <c r="C50" s="10">
        <f>(' Scope 1'!D334)/1000000</f>
        <v>0</v>
      </c>
      <c r="D50" s="10">
        <f>(' Scope 1'!E334)/1000000</f>
        <v>0</v>
      </c>
      <c r="E50" s="10">
        <f>(' Scope 1'!F334)/1000000</f>
        <v>0</v>
      </c>
      <c r="F50" s="601" t="s">
        <v>8</v>
      </c>
      <c r="G50" s="582">
        <f>' Scope 1'!H334</f>
        <v>0</v>
      </c>
      <c r="H50" s="9"/>
    </row>
    <row r="51" spans="2:8" x14ac:dyDescent="0.35">
      <c r="B51" s="48" t="s">
        <v>40</v>
      </c>
      <c r="C51" s="580">
        <v>0</v>
      </c>
      <c r="D51" s="580" t="e">
        <f>D52+D53</f>
        <v>#VALUE!</v>
      </c>
      <c r="E51" s="580" t="e">
        <f>E52+E53</f>
        <v>#VALUE!</v>
      </c>
      <c r="F51" s="602" t="s">
        <v>8</v>
      </c>
      <c r="G51" s="583" t="e">
        <f>G53+G52</f>
        <v>#VALUE!</v>
      </c>
      <c r="H51" s="9"/>
    </row>
    <row r="52" spans="2:8" x14ac:dyDescent="0.35">
      <c r="B52" s="272" t="s">
        <v>41</v>
      </c>
      <c r="C52" s="10" t="str">
        <f>' Scope 1'!D345</f>
        <v>N/A</v>
      </c>
      <c r="D52" s="10" t="e">
        <f>' Scope 1'!E345</f>
        <v>#VALUE!</v>
      </c>
      <c r="E52" s="10" t="e">
        <f>' Scope 1'!F345</f>
        <v>#VALUE!</v>
      </c>
      <c r="F52" s="601" t="s">
        <v>8</v>
      </c>
      <c r="G52" s="582" t="e">
        <f>' Scope 1'!H345</f>
        <v>#VALUE!</v>
      </c>
      <c r="H52" s="9"/>
    </row>
    <row r="53" spans="2:8" x14ac:dyDescent="0.35">
      <c r="B53" s="272" t="s">
        <v>42</v>
      </c>
      <c r="C53" s="10" t="s">
        <v>8</v>
      </c>
      <c r="D53" s="10" t="e">
        <f>' Scope 1'!E346</f>
        <v>#VALUE!</v>
      </c>
      <c r="E53" s="10" t="e">
        <f>' Scope 1'!F346</f>
        <v>#VALUE!</v>
      </c>
      <c r="F53" s="601" t="s">
        <v>8</v>
      </c>
      <c r="G53" s="582" t="e">
        <f>' Scope 1'!H346</f>
        <v>#VALUE!</v>
      </c>
      <c r="H53" s="9"/>
    </row>
    <row r="54" spans="2:8" x14ac:dyDescent="0.35">
      <c r="B54" s="48" t="s">
        <v>43</v>
      </c>
      <c r="C54" s="580">
        <f>SUM(C55:C56)</f>
        <v>0</v>
      </c>
      <c r="D54" s="580">
        <f>SUM(D55:D56)</f>
        <v>0</v>
      </c>
      <c r="E54" s="580">
        <f>SUM(E55:E56)</f>
        <v>0</v>
      </c>
      <c r="F54" s="602" t="s">
        <v>8</v>
      </c>
      <c r="G54" s="583">
        <f>SUM(G55:G56)</f>
        <v>0</v>
      </c>
      <c r="H54" s="9"/>
    </row>
    <row r="55" spans="2:8" x14ac:dyDescent="0.35">
      <c r="B55" s="272" t="s">
        <v>44</v>
      </c>
      <c r="C55" s="10" t="str">
        <f>' Scope 1'!D340</f>
        <v>N/A</v>
      </c>
      <c r="D55" s="10">
        <f>' Scope 1'!E340</f>
        <v>0</v>
      </c>
      <c r="E55" s="10" t="str">
        <f>' Scope 1'!F340</f>
        <v>N/A</v>
      </c>
      <c r="F55" s="601" t="s">
        <v>8</v>
      </c>
      <c r="G55" s="582">
        <f>' Scope 1'!H340</f>
        <v>0</v>
      </c>
      <c r="H55" s="9"/>
    </row>
    <row r="56" spans="2:8" x14ac:dyDescent="0.35">
      <c r="B56" s="272" t="s">
        <v>45</v>
      </c>
      <c r="C56" s="10" t="str">
        <f>' Scope 1'!D341</f>
        <v>N/A</v>
      </c>
      <c r="D56" s="10">
        <f>' Scope 1'!E341</f>
        <v>0</v>
      </c>
      <c r="E56" s="10">
        <f>' Scope 1'!F341</f>
        <v>0</v>
      </c>
      <c r="F56" s="601" t="s">
        <v>8</v>
      </c>
      <c r="G56" s="582">
        <f>' Scope 1'!H341</f>
        <v>0</v>
      </c>
      <c r="H56" s="9"/>
    </row>
    <row r="57" spans="2:8" x14ac:dyDescent="0.35">
      <c r="B57" s="48" t="s">
        <v>46</v>
      </c>
      <c r="C57" s="580">
        <f>SUM(C58:C59)</f>
        <v>0</v>
      </c>
      <c r="D57" s="580">
        <f>SUM(D58:D59)</f>
        <v>0</v>
      </c>
      <c r="E57" s="580">
        <f>SUM(E58:E59)</f>
        <v>0</v>
      </c>
      <c r="F57" s="602">
        <v>0</v>
      </c>
      <c r="G57" s="583">
        <f>SUM(G58:G59)</f>
        <v>0</v>
      </c>
      <c r="H57" s="9"/>
    </row>
    <row r="58" spans="2:8" x14ac:dyDescent="0.35">
      <c r="B58" s="272" t="s">
        <v>47</v>
      </c>
      <c r="C58" s="10">
        <f>(' Scope 1'!D350)/1000000</f>
        <v>0</v>
      </c>
      <c r="D58" s="10">
        <f>(' Scope 1'!E350)/1000000</f>
        <v>0</v>
      </c>
      <c r="E58" s="10">
        <f>(' Scope 1'!F350)/1000000</f>
        <v>0</v>
      </c>
      <c r="F58" s="601">
        <v>0</v>
      </c>
      <c r="G58" s="582">
        <f>' Scope 1'!H350</f>
        <v>0</v>
      </c>
      <c r="H58" s="9"/>
    </row>
    <row r="59" spans="2:8" x14ac:dyDescent="0.35">
      <c r="B59" s="272" t="s">
        <v>48</v>
      </c>
      <c r="C59" s="10">
        <f>(' Scope 1'!D351)/1000000</f>
        <v>0</v>
      </c>
      <c r="D59" s="10">
        <f>(' Scope 1'!E351)/1000000</f>
        <v>0</v>
      </c>
      <c r="E59" s="10">
        <f>(' Scope 1'!F351)/1000000</f>
        <v>0</v>
      </c>
      <c r="F59" s="601" t="s">
        <v>8</v>
      </c>
      <c r="G59" s="582">
        <f>' Scope 1'!H351</f>
        <v>0</v>
      </c>
      <c r="H59" s="9"/>
    </row>
    <row r="60" spans="2:8" x14ac:dyDescent="0.35">
      <c r="B60" s="38" t="s">
        <v>49</v>
      </c>
      <c r="C60" s="585"/>
      <c r="D60" s="585"/>
      <c r="E60" s="585"/>
      <c r="F60" s="603">
        <v>0</v>
      </c>
      <c r="G60" s="584">
        <f>G61+G63+G65</f>
        <v>0</v>
      </c>
      <c r="H60" s="9"/>
    </row>
    <row r="61" spans="2:8" x14ac:dyDescent="0.35">
      <c r="B61" s="48" t="s">
        <v>34</v>
      </c>
      <c r="C61" s="609"/>
      <c r="D61" s="609"/>
      <c r="E61" s="609"/>
      <c r="F61" s="604"/>
      <c r="G61" s="580">
        <f t="shared" ref="G61" si="6">G62</f>
        <v>0</v>
      </c>
      <c r="H61" s="9"/>
    </row>
    <row r="62" spans="2:8" x14ac:dyDescent="0.35">
      <c r="B62" s="272" t="s">
        <v>29</v>
      </c>
      <c r="C62" s="553"/>
      <c r="D62" s="553"/>
      <c r="E62" s="553"/>
      <c r="F62" s="605"/>
      <c r="G62" s="10">
        <f>'Scope 2'!D93</f>
        <v>0</v>
      </c>
      <c r="H62" s="9"/>
    </row>
    <row r="63" spans="2:8" x14ac:dyDescent="0.35">
      <c r="B63" s="48" t="s">
        <v>37</v>
      </c>
      <c r="C63" s="609"/>
      <c r="D63" s="609"/>
      <c r="E63" s="609"/>
      <c r="F63" s="604"/>
      <c r="G63" s="580">
        <f t="shared" ref="G63" si="7">G64</f>
        <v>0</v>
      </c>
      <c r="H63" s="9"/>
    </row>
    <row r="64" spans="2:8" x14ac:dyDescent="0.35">
      <c r="B64" s="272" t="s">
        <v>29</v>
      </c>
      <c r="C64" s="553"/>
      <c r="D64" s="553"/>
      <c r="E64" s="553"/>
      <c r="F64" s="605"/>
      <c r="G64" s="10">
        <f>'Scope 2'!D95</f>
        <v>0</v>
      </c>
      <c r="H64" s="9"/>
    </row>
    <row r="65" spans="2:8" x14ac:dyDescent="0.35">
      <c r="B65" s="48" t="s">
        <v>43</v>
      </c>
      <c r="C65" s="609"/>
      <c r="D65" s="609"/>
      <c r="E65" s="609"/>
      <c r="F65" s="604"/>
      <c r="G65" s="580">
        <f t="shared" ref="G65" si="8">G66</f>
        <v>0</v>
      </c>
      <c r="H65" s="9"/>
    </row>
    <row r="66" spans="2:8" x14ac:dyDescent="0.35">
      <c r="B66" s="272" t="s">
        <v>29</v>
      </c>
      <c r="C66" s="553"/>
      <c r="D66" s="553"/>
      <c r="E66" s="553"/>
      <c r="F66" s="605"/>
      <c r="G66" s="10">
        <f>'Scope 2'!D97</f>
        <v>0</v>
      </c>
      <c r="H66" s="9"/>
    </row>
    <row r="67" spans="2:8" x14ac:dyDescent="0.35">
      <c r="B67" s="38" t="s">
        <v>50</v>
      </c>
      <c r="C67" s="585">
        <f>C68</f>
        <v>0</v>
      </c>
      <c r="D67" s="585">
        <f>D68</f>
        <v>0</v>
      </c>
      <c r="E67" s="585">
        <f>E68</f>
        <v>0</v>
      </c>
      <c r="F67" s="603">
        <v>0</v>
      </c>
      <c r="G67" s="585">
        <f>G68</f>
        <v>0</v>
      </c>
      <c r="H67" s="9"/>
    </row>
    <row r="68" spans="2:8" x14ac:dyDescent="0.35">
      <c r="B68" s="39" t="s">
        <v>51</v>
      </c>
      <c r="C68" s="580">
        <f>SUM(C69:C69)</f>
        <v>0</v>
      </c>
      <c r="D68" s="580">
        <f>SUM(D69:D69)</f>
        <v>0</v>
      </c>
      <c r="E68" s="580">
        <f>SUM(E69:E69)</f>
        <v>0</v>
      </c>
      <c r="F68" s="599" t="s">
        <v>8</v>
      </c>
      <c r="G68" s="580">
        <f>SUM(G69:G69)</f>
        <v>0</v>
      </c>
      <c r="H68" s="9"/>
    </row>
    <row r="69" spans="2:8" x14ac:dyDescent="0.35">
      <c r="B69" s="272" t="s">
        <v>52</v>
      </c>
      <c r="C69" s="10" t="s">
        <v>8</v>
      </c>
      <c r="D69" s="10">
        <f>'Scope 3'!D7</f>
        <v>0</v>
      </c>
      <c r="E69" s="10" t="s">
        <v>8</v>
      </c>
      <c r="F69" s="600" t="s">
        <v>8</v>
      </c>
      <c r="G69" s="10">
        <f>'Scope 3'!F7</f>
        <v>0</v>
      </c>
      <c r="H69" s="9"/>
    </row>
    <row r="70" spans="2:8" x14ac:dyDescent="0.35">
      <c r="B70" s="38" t="s">
        <v>53</v>
      </c>
      <c r="C70" s="586">
        <f>C67+C60+C40</f>
        <v>0</v>
      </c>
      <c r="D70" s="586" t="e">
        <f>D67+D60+D40</f>
        <v>#VALUE!</v>
      </c>
      <c r="E70" s="586" t="e">
        <f>E67+E60+E40</f>
        <v>#VALUE!</v>
      </c>
      <c r="F70" s="606">
        <f>F67+F60+F40</f>
        <v>0</v>
      </c>
      <c r="G70" s="586" t="e">
        <f>G67+G60+G40</f>
        <v>#VALUE!</v>
      </c>
      <c r="H70" s="9"/>
    </row>
    <row r="71" spans="2:8" ht="15" thickBot="1" x14ac:dyDescent="0.4">
      <c r="B71" s="43" t="s">
        <v>54</v>
      </c>
      <c r="C71" s="610">
        <f>((' Scope 1'!D329)/1000000)+('Scope 3'!C5)+('Scope 3'!C6)</f>
        <v>0</v>
      </c>
      <c r="D71" s="610"/>
      <c r="E71" s="610"/>
      <c r="F71" s="607"/>
      <c r="G71" s="587"/>
      <c r="H71" s="9"/>
    </row>
    <row r="72" spans="2:8" x14ac:dyDescent="0.35">
      <c r="B72" s="493" t="s">
        <v>55</v>
      </c>
      <c r="C72" s="588">
        <f>C70+C34</f>
        <v>0</v>
      </c>
      <c r="D72" s="588" t="e">
        <f t="shared" ref="D72:F72" si="9">D70+D34</f>
        <v>#VALUE!</v>
      </c>
      <c r="E72" s="588" t="e">
        <f t="shared" si="9"/>
        <v>#VALUE!</v>
      </c>
      <c r="F72" s="608">
        <f t="shared" si="9"/>
        <v>0</v>
      </c>
      <c r="G72" s="588" t="e">
        <f>G70+G34</f>
        <v>#VALUE!</v>
      </c>
      <c r="H72" s="9"/>
    </row>
    <row r="75" spans="2:8" x14ac:dyDescent="0.35">
      <c r="B75" s="227"/>
    </row>
  </sheetData>
  <sheetProtection algorithmName="SHA-512" hashValue="wpnbMugsExQ0wPFlknPO651SOsKB0j8TCjHFbnTAn5Hkha8rBJ/EKrEIHe++/can88fB65SFcddPJVSE9GCrug==" saltValue="ZXiUznjVfVMcrLE+PMh4aw==" spinCount="100000" sheet="1" formatCells="0" formatColumns="0" formatRows="0" insertColumns="0" insertRows="0" insertHyperlinks="0" deleteColumns="0" deleteRows="0" sort="0" autoFilter="0" pivotTables="0"/>
  <mergeCells count="2">
    <mergeCell ref="B37:F38"/>
    <mergeCell ref="B1:G1"/>
  </mergeCells>
  <pageMargins left="0.7" right="0.7" top="0.75" bottom="0.75" header="0.3" footer="0.3"/>
  <pageSetup scale="56" orientation="portrait" horizontalDpi="4294967293" r:id="rId1"/>
  <rowBreaks count="1" manualBreakCount="1">
    <brk id="36" max="16383" man="1"/>
  </rowBreaks>
  <ignoredErrors>
    <ignoredError sqref="G6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ACF79-A623-4EF8-9744-4CECFCDF490A}">
  <dimension ref="A1:AG153"/>
  <sheetViews>
    <sheetView zoomScale="70" zoomScaleNormal="70" workbookViewId="0">
      <selection activeCell="C27" sqref="C27"/>
    </sheetView>
  </sheetViews>
  <sheetFormatPr baseColWidth="10" defaultColWidth="11.453125" defaultRowHeight="14.5" x14ac:dyDescent="0.35"/>
  <cols>
    <col min="1" max="1" width="53.7265625" bestFit="1" customWidth="1"/>
    <col min="2" max="2" width="17.81640625" style="329" customWidth="1"/>
    <col min="30" max="30" width="20.81640625" customWidth="1"/>
    <col min="31" max="31" width="35.54296875" customWidth="1"/>
    <col min="32" max="32" width="20.1796875" customWidth="1"/>
    <col min="33" max="33" width="26.81640625" customWidth="1"/>
  </cols>
  <sheetData>
    <row r="1" spans="1:30" ht="16.5" x14ac:dyDescent="0.45">
      <c r="A1" s="45" t="s">
        <v>1</v>
      </c>
      <c r="B1" s="338" t="s">
        <v>6</v>
      </c>
    </row>
    <row r="2" spans="1:30" x14ac:dyDescent="0.35">
      <c r="A2" s="38" t="s">
        <v>56</v>
      </c>
      <c r="B2" s="612">
        <f>(B3+B9+B13+B29)</f>
        <v>5.07</v>
      </c>
    </row>
    <row r="3" spans="1:30" ht="15" customHeight="1" x14ac:dyDescent="0.35">
      <c r="A3" s="39" t="s">
        <v>57</v>
      </c>
      <c r="B3" s="620">
        <f>Sommaire!G4</f>
        <v>0</v>
      </c>
      <c r="X3" s="652" t="s">
        <v>58</v>
      </c>
      <c r="Y3" s="652"/>
      <c r="Z3" s="652"/>
      <c r="AA3" s="652"/>
      <c r="AB3" s="652"/>
    </row>
    <row r="4" spans="1:30" x14ac:dyDescent="0.35">
      <c r="A4" s="40" t="s">
        <v>10</v>
      </c>
      <c r="B4" s="613">
        <f>Sommaire!G5</f>
        <v>0</v>
      </c>
      <c r="X4" s="652"/>
      <c r="Y4" s="652"/>
      <c r="Z4" s="652"/>
      <c r="AA4" s="652"/>
      <c r="AB4" s="652"/>
    </row>
    <row r="5" spans="1:30" x14ac:dyDescent="0.35">
      <c r="A5" s="40" t="s">
        <v>12</v>
      </c>
      <c r="B5" s="613">
        <f>Sommaire!G7</f>
        <v>0</v>
      </c>
      <c r="X5" s="652"/>
      <c r="Y5" s="652"/>
      <c r="Z5" s="652"/>
      <c r="AA5" s="652"/>
      <c r="AB5" s="652"/>
    </row>
    <row r="6" spans="1:30" x14ac:dyDescent="0.35">
      <c r="A6" s="40" t="s">
        <v>11</v>
      </c>
      <c r="B6" s="613">
        <f>Sommaire!G6</f>
        <v>0</v>
      </c>
      <c r="X6" s="652"/>
      <c r="Y6" s="652"/>
      <c r="Z6" s="652"/>
      <c r="AA6" s="652"/>
      <c r="AB6" s="652"/>
    </row>
    <row r="7" spans="1:30" x14ac:dyDescent="0.35">
      <c r="A7" s="40" t="s">
        <v>13</v>
      </c>
      <c r="B7" s="613">
        <f>Sommaire!G8</f>
        <v>0</v>
      </c>
      <c r="X7" s="652"/>
      <c r="Y7" s="652"/>
      <c r="Z7" s="652"/>
      <c r="AA7" s="652"/>
      <c r="AB7" s="652"/>
    </row>
    <row r="8" spans="1:30" x14ac:dyDescent="0.35">
      <c r="A8" s="40" t="s">
        <v>14</v>
      </c>
      <c r="B8" s="613">
        <f>Sommaire!G9</f>
        <v>0</v>
      </c>
      <c r="X8" s="652"/>
      <c r="Y8" s="652"/>
      <c r="Z8" s="652"/>
      <c r="AA8" s="652"/>
      <c r="AB8" s="652"/>
    </row>
    <row r="9" spans="1:30" x14ac:dyDescent="0.35">
      <c r="A9" s="39" t="s">
        <v>59</v>
      </c>
      <c r="B9" s="620">
        <f>Sommaire!G10</f>
        <v>0</v>
      </c>
      <c r="X9" s="652"/>
      <c r="Y9" s="652"/>
      <c r="Z9" s="652"/>
      <c r="AA9" s="652"/>
      <c r="AB9" s="652"/>
    </row>
    <row r="10" spans="1:30" x14ac:dyDescent="0.35">
      <c r="A10" s="40" t="s">
        <v>10</v>
      </c>
      <c r="B10" s="613">
        <f>Sommaire!G11</f>
        <v>0</v>
      </c>
      <c r="X10" s="652"/>
      <c r="Y10" s="652"/>
      <c r="Z10" s="652"/>
      <c r="AA10" s="652"/>
      <c r="AB10" s="652"/>
    </row>
    <row r="11" spans="1:30" x14ac:dyDescent="0.35">
      <c r="A11" s="40" t="s">
        <v>16</v>
      </c>
      <c r="B11" s="613">
        <f>Sommaire!G12</f>
        <v>0</v>
      </c>
      <c r="X11" s="652"/>
      <c r="Y11" s="652"/>
      <c r="Z11" s="652"/>
      <c r="AA11" s="652"/>
      <c r="AB11" s="652"/>
      <c r="AD11" s="3"/>
    </row>
    <row r="12" spans="1:30" x14ac:dyDescent="0.35">
      <c r="A12" s="40" t="s">
        <v>13</v>
      </c>
      <c r="B12" s="613">
        <f>Sommaire!G13</f>
        <v>0</v>
      </c>
      <c r="X12" s="652"/>
      <c r="Y12" s="652"/>
      <c r="Z12" s="652"/>
      <c r="AA12" s="652"/>
      <c r="AB12" s="652"/>
      <c r="AC12" s="560"/>
      <c r="AD12" s="3" t="s">
        <v>60</v>
      </c>
    </row>
    <row r="13" spans="1:30" ht="29" x14ac:dyDescent="0.35">
      <c r="A13" s="39" t="s">
        <v>61</v>
      </c>
      <c r="B13" s="620">
        <f>SUM(B14:B16)</f>
        <v>5.07</v>
      </c>
      <c r="X13" s="652"/>
      <c r="Y13" s="652"/>
      <c r="Z13" s="652"/>
      <c r="AA13" s="652"/>
      <c r="AB13" s="652"/>
      <c r="AC13" s="558"/>
      <c r="AD13" s="3" t="s">
        <v>59</v>
      </c>
    </row>
    <row r="14" spans="1:30" ht="29" x14ac:dyDescent="0.35">
      <c r="A14" s="40" t="s">
        <v>18</v>
      </c>
      <c r="B14" s="613">
        <f>Sommaire!G15</f>
        <v>0</v>
      </c>
      <c r="X14" s="652"/>
      <c r="Y14" s="652"/>
      <c r="Z14" s="652"/>
      <c r="AA14" s="652"/>
      <c r="AB14" s="652"/>
      <c r="AC14" s="559"/>
      <c r="AD14" s="3" t="s">
        <v>62</v>
      </c>
    </row>
    <row r="15" spans="1:30" x14ac:dyDescent="0.35">
      <c r="A15" s="40" t="s">
        <v>13</v>
      </c>
      <c r="B15" s="613">
        <f>Sommaire!G16</f>
        <v>0</v>
      </c>
      <c r="X15" s="652"/>
      <c r="Y15" s="652"/>
      <c r="Z15" s="652"/>
      <c r="AA15" s="652"/>
      <c r="AB15" s="652"/>
      <c r="AC15" s="561"/>
      <c r="AD15" s="3" t="s">
        <v>63</v>
      </c>
    </row>
    <row r="16" spans="1:30" x14ac:dyDescent="0.35">
      <c r="A16" s="40" t="s">
        <v>14</v>
      </c>
      <c r="B16" s="613">
        <f>Sommaire!G17</f>
        <v>5.07</v>
      </c>
      <c r="X16" s="652"/>
      <c r="Y16" s="652"/>
      <c r="Z16" s="652"/>
      <c r="AA16" s="652"/>
      <c r="AB16" s="652"/>
      <c r="AC16" s="562"/>
      <c r="AD16" s="3" t="s">
        <v>64</v>
      </c>
    </row>
    <row r="17" spans="1:28" x14ac:dyDescent="0.35">
      <c r="A17" s="58" t="s">
        <v>65</v>
      </c>
      <c r="B17" s="548"/>
      <c r="X17" s="652"/>
      <c r="Y17" s="652"/>
      <c r="Z17" s="652"/>
      <c r="AA17" s="652"/>
      <c r="AB17" s="652"/>
    </row>
    <row r="18" spans="1:28" ht="24.75" customHeight="1" x14ac:dyDescent="0.35">
      <c r="A18" s="438" t="s">
        <v>66</v>
      </c>
      <c r="B18" s="623">
        <f>Sommaire!G19</f>
        <v>0</v>
      </c>
      <c r="X18" s="652"/>
      <c r="Y18" s="652"/>
      <c r="Z18" s="652"/>
      <c r="AA18" s="652"/>
      <c r="AB18" s="652"/>
    </row>
    <row r="19" spans="1:28" x14ac:dyDescent="0.35">
      <c r="A19" s="37" t="s">
        <v>21</v>
      </c>
      <c r="B19" s="614">
        <f>Sommaire!G20</f>
        <v>0</v>
      </c>
      <c r="X19" s="652"/>
      <c r="Y19" s="652"/>
      <c r="Z19" s="652"/>
      <c r="AA19" s="652"/>
      <c r="AB19" s="652"/>
    </row>
    <row r="20" spans="1:28" x14ac:dyDescent="0.35">
      <c r="A20" s="37" t="s">
        <v>67</v>
      </c>
      <c r="B20" s="614">
        <f>Sommaire!G21</f>
        <v>0</v>
      </c>
      <c r="X20" s="652"/>
      <c r="Y20" s="652"/>
      <c r="Z20" s="652"/>
      <c r="AA20" s="652"/>
      <c r="AB20" s="652"/>
    </row>
    <row r="21" spans="1:28" x14ac:dyDescent="0.35">
      <c r="A21" s="37" t="s">
        <v>68</v>
      </c>
      <c r="B21" s="614">
        <f>Sommaire!G22</f>
        <v>0</v>
      </c>
      <c r="X21" s="652"/>
      <c r="Y21" s="652"/>
      <c r="Z21" s="652"/>
      <c r="AA21" s="652"/>
      <c r="AB21" s="652"/>
    </row>
    <row r="22" spans="1:28" x14ac:dyDescent="0.35">
      <c r="A22" s="37" t="s">
        <v>69</v>
      </c>
      <c r="B22" s="614">
        <f>Sommaire!G23</f>
        <v>0</v>
      </c>
      <c r="X22" s="652"/>
      <c r="Y22" s="652"/>
      <c r="Z22" s="652"/>
      <c r="AA22" s="652"/>
      <c r="AB22" s="652"/>
    </row>
    <row r="23" spans="1:28" x14ac:dyDescent="0.35">
      <c r="A23" s="37" t="s">
        <v>70</v>
      </c>
      <c r="B23" s="614">
        <f>Sommaire!G24</f>
        <v>0</v>
      </c>
      <c r="X23" s="652"/>
      <c r="Y23" s="652"/>
      <c r="Z23" s="652"/>
      <c r="AA23" s="652"/>
      <c r="AB23" s="652"/>
    </row>
    <row r="24" spans="1:28" x14ac:dyDescent="0.35">
      <c r="A24" s="433" t="s">
        <v>26</v>
      </c>
      <c r="B24" s="614">
        <f>Sommaire!G25</f>
        <v>0</v>
      </c>
      <c r="X24" s="652"/>
      <c r="Y24" s="652"/>
      <c r="Z24" s="652"/>
      <c r="AA24" s="652"/>
      <c r="AB24" s="652"/>
    </row>
    <row r="25" spans="1:28" x14ac:dyDescent="0.35">
      <c r="A25" s="433" t="s">
        <v>27</v>
      </c>
      <c r="B25" s="614">
        <f>Sommaire!G26</f>
        <v>0</v>
      </c>
      <c r="X25" s="652"/>
      <c r="Y25" s="652"/>
      <c r="Z25" s="652"/>
      <c r="AA25" s="652"/>
      <c r="AB25" s="652"/>
    </row>
    <row r="26" spans="1:28" x14ac:dyDescent="0.35">
      <c r="A26" s="108" t="str">
        <f>A3</f>
        <v>Bâtiments et autres installations</v>
      </c>
      <c r="B26" s="624">
        <f>B3</f>
        <v>0</v>
      </c>
      <c r="X26" s="652"/>
      <c r="Y26" s="652"/>
      <c r="Z26" s="652"/>
      <c r="AA26" s="652"/>
      <c r="AB26" s="652"/>
    </row>
    <row r="27" spans="1:28" x14ac:dyDescent="0.35">
      <c r="A27" s="108" t="str">
        <f>A9</f>
        <v>Station d'épuration des eaux usées</v>
      </c>
      <c r="B27" s="624">
        <f>B9</f>
        <v>0</v>
      </c>
      <c r="X27" s="652"/>
      <c r="Y27" s="652"/>
      <c r="Z27" s="652"/>
      <c r="AA27" s="652"/>
      <c r="AB27" s="652"/>
    </row>
    <row r="28" spans="1:28" x14ac:dyDescent="0.35">
      <c r="A28" s="108" t="str">
        <f>A13</f>
        <v xml:space="preserve">Parc des véhicules municipaux </v>
      </c>
      <c r="B28" s="624">
        <f>B13</f>
        <v>5.07</v>
      </c>
      <c r="X28" s="652"/>
      <c r="Y28" s="652"/>
      <c r="Z28" s="652"/>
      <c r="AA28" s="652"/>
      <c r="AB28" s="652"/>
    </row>
    <row r="29" spans="1:28" x14ac:dyDescent="0.35">
      <c r="A29" s="549" t="s">
        <v>71</v>
      </c>
      <c r="B29" s="619">
        <f>SUM(B19:B25)</f>
        <v>0</v>
      </c>
      <c r="X29" s="652"/>
      <c r="Y29" s="652"/>
      <c r="Z29" s="652"/>
      <c r="AA29" s="652"/>
      <c r="AB29" s="652"/>
    </row>
    <row r="30" spans="1:28" x14ac:dyDescent="0.35">
      <c r="A30" s="42" t="s">
        <v>72</v>
      </c>
      <c r="B30" s="615">
        <f>Sommaire!G27</f>
        <v>0</v>
      </c>
      <c r="X30" s="652"/>
      <c r="Y30" s="652"/>
      <c r="Z30" s="652"/>
      <c r="AA30" s="652"/>
      <c r="AB30" s="652"/>
    </row>
    <row r="31" spans="1:28" x14ac:dyDescent="0.35">
      <c r="A31" s="41" t="s">
        <v>57</v>
      </c>
      <c r="B31" s="613">
        <f>Sommaire!G28</f>
        <v>0</v>
      </c>
      <c r="X31" s="652"/>
      <c r="Y31" s="652"/>
      <c r="Z31" s="652"/>
      <c r="AA31" s="652"/>
      <c r="AB31" s="652"/>
    </row>
    <row r="32" spans="1:28" x14ac:dyDescent="0.35">
      <c r="A32" s="41" t="s">
        <v>59</v>
      </c>
      <c r="B32" s="613">
        <f>Sommaire!G30</f>
        <v>0</v>
      </c>
      <c r="X32" s="652"/>
      <c r="Y32" s="652"/>
      <c r="Z32" s="652"/>
      <c r="AA32" s="652"/>
      <c r="AB32" s="652"/>
    </row>
    <row r="33" spans="1:28" x14ac:dyDescent="0.35">
      <c r="A33" s="39" t="s">
        <v>73</v>
      </c>
      <c r="B33" s="613">
        <f>Sommaire!G32</f>
        <v>0</v>
      </c>
      <c r="X33" s="652"/>
      <c r="Y33" s="652"/>
      <c r="Z33" s="652"/>
      <c r="AA33" s="652"/>
      <c r="AB33" s="652"/>
    </row>
    <row r="34" spans="1:28" ht="15" thickBot="1" x14ac:dyDescent="0.4">
      <c r="A34" s="43" t="s">
        <v>74</v>
      </c>
      <c r="B34" s="612">
        <f>Sommaire!G34</f>
        <v>5.07</v>
      </c>
      <c r="X34" s="652"/>
      <c r="Y34" s="652"/>
      <c r="Z34" s="652"/>
      <c r="AA34" s="652"/>
      <c r="AB34" s="652"/>
    </row>
    <row r="35" spans="1:28" x14ac:dyDescent="0.35">
      <c r="A35" s="109" t="str">
        <f>A2</f>
        <v>Émissions directes  (Champ 1)</v>
      </c>
      <c r="B35" s="616">
        <f>B2</f>
        <v>5.07</v>
      </c>
      <c r="X35" s="652"/>
      <c r="Y35" s="652"/>
      <c r="Z35" s="652"/>
      <c r="AA35" s="652"/>
      <c r="AB35" s="652"/>
    </row>
    <row r="36" spans="1:28" x14ac:dyDescent="0.35">
      <c r="A36" s="109" t="str">
        <f>A30</f>
        <v>Émissions indirectes liées à l'énergie (Champ 2)</v>
      </c>
      <c r="B36" s="616">
        <f>SUM(B31:B33)</f>
        <v>0</v>
      </c>
      <c r="X36" s="652"/>
      <c r="Y36" s="652"/>
      <c r="Z36" s="652"/>
      <c r="AA36" s="652"/>
      <c r="AB36" s="652"/>
    </row>
    <row r="37" spans="1:28" x14ac:dyDescent="0.35">
      <c r="A37" s="140"/>
      <c r="B37" s="339"/>
      <c r="X37" s="652"/>
      <c r="Y37" s="652"/>
      <c r="Z37" s="652"/>
      <c r="AA37" s="652"/>
      <c r="AB37" s="652"/>
    </row>
    <row r="38" spans="1:28" x14ac:dyDescent="0.35">
      <c r="A38" s="140"/>
      <c r="B38" s="339"/>
      <c r="X38" s="652"/>
      <c r="Y38" s="652"/>
      <c r="Z38" s="652"/>
      <c r="AA38" s="652"/>
      <c r="AB38" s="652"/>
    </row>
    <row r="39" spans="1:28" x14ac:dyDescent="0.35">
      <c r="A39" s="44"/>
      <c r="B39" s="340"/>
      <c r="X39" s="652"/>
      <c r="Y39" s="652"/>
      <c r="Z39" s="652"/>
      <c r="AA39" s="652"/>
      <c r="AB39" s="652"/>
    </row>
    <row r="40" spans="1:28" x14ac:dyDescent="0.35">
      <c r="A40" s="44"/>
      <c r="B40" s="340"/>
      <c r="X40" s="652"/>
      <c r="Y40" s="652"/>
      <c r="Z40" s="652"/>
      <c r="AA40" s="652"/>
      <c r="AB40" s="652"/>
    </row>
    <row r="41" spans="1:28" x14ac:dyDescent="0.35">
      <c r="A41" s="44"/>
      <c r="B41" s="340"/>
      <c r="X41" s="652"/>
      <c r="Y41" s="652"/>
      <c r="Z41" s="652"/>
      <c r="AA41" s="652"/>
      <c r="AB41" s="652"/>
    </row>
    <row r="42" spans="1:28" x14ac:dyDescent="0.35">
      <c r="A42" s="44"/>
      <c r="B42" s="340"/>
      <c r="X42" s="652"/>
      <c r="Y42" s="652"/>
      <c r="Z42" s="652"/>
      <c r="AA42" s="652"/>
      <c r="AB42" s="652"/>
    </row>
    <row r="43" spans="1:28" x14ac:dyDescent="0.35">
      <c r="A43" s="44"/>
      <c r="B43" s="340"/>
      <c r="X43" s="652"/>
      <c r="Y43" s="652"/>
      <c r="Z43" s="652"/>
      <c r="AA43" s="652"/>
      <c r="AB43" s="652"/>
    </row>
    <row r="44" spans="1:28" x14ac:dyDescent="0.35">
      <c r="A44" s="44"/>
      <c r="B44" s="340"/>
    </row>
    <row r="45" spans="1:28" x14ac:dyDescent="0.35">
      <c r="A45" s="44"/>
      <c r="B45" s="340"/>
    </row>
    <row r="46" spans="1:28" x14ac:dyDescent="0.35">
      <c r="A46" s="44"/>
      <c r="B46" s="340"/>
    </row>
    <row r="47" spans="1:28" x14ac:dyDescent="0.35">
      <c r="A47" s="44"/>
      <c r="B47" s="340"/>
    </row>
    <row r="48" spans="1:28" x14ac:dyDescent="0.35">
      <c r="A48" s="44"/>
      <c r="B48" s="340"/>
    </row>
    <row r="49" spans="1:30" x14ac:dyDescent="0.35">
      <c r="A49" s="44"/>
      <c r="B49" s="340"/>
    </row>
    <row r="50" spans="1:30" x14ac:dyDescent="0.35">
      <c r="A50" s="44"/>
      <c r="B50" s="340"/>
    </row>
    <row r="51" spans="1:30" x14ac:dyDescent="0.35">
      <c r="A51" s="44"/>
      <c r="B51" s="340"/>
    </row>
    <row r="52" spans="1:30" x14ac:dyDescent="0.35">
      <c r="A52" s="44"/>
      <c r="B52" s="340"/>
    </row>
    <row r="53" spans="1:30" ht="15" customHeight="1" x14ac:dyDescent="0.35">
      <c r="A53" s="44"/>
      <c r="B53" s="340"/>
      <c r="X53" s="652" t="s">
        <v>75</v>
      </c>
      <c r="Y53" s="652"/>
      <c r="Z53" s="652"/>
      <c r="AA53" s="652"/>
      <c r="AB53" s="652"/>
      <c r="AC53" s="652"/>
      <c r="AD53" s="652"/>
    </row>
    <row r="54" spans="1:30" x14ac:dyDescent="0.35">
      <c r="A54" s="44"/>
      <c r="B54" s="340"/>
      <c r="X54" s="652"/>
      <c r="Y54" s="652"/>
      <c r="Z54" s="652"/>
      <c r="AA54" s="652"/>
      <c r="AB54" s="652"/>
      <c r="AC54" s="652"/>
      <c r="AD54" s="652"/>
    </row>
    <row r="55" spans="1:30" ht="15" customHeight="1" x14ac:dyDescent="0.35">
      <c r="X55" s="652"/>
      <c r="Y55" s="652"/>
      <c r="Z55" s="652"/>
      <c r="AA55" s="652"/>
      <c r="AB55" s="652"/>
      <c r="AC55" s="652"/>
      <c r="AD55" s="652"/>
    </row>
    <row r="56" spans="1:30" ht="45.5" x14ac:dyDescent="0.35">
      <c r="A56" s="242" t="s">
        <v>32</v>
      </c>
      <c r="B56" s="341"/>
      <c r="X56" s="652"/>
      <c r="Y56" s="652"/>
      <c r="Z56" s="652"/>
      <c r="AA56" s="652"/>
      <c r="AB56" s="652"/>
      <c r="AC56" s="652"/>
      <c r="AD56" s="652"/>
    </row>
    <row r="57" spans="1:30" ht="15" thickBot="1" x14ac:dyDescent="0.4">
      <c r="A57" s="243"/>
      <c r="B57" s="342"/>
      <c r="X57" s="652"/>
      <c r="Y57" s="652"/>
      <c r="Z57" s="652"/>
      <c r="AA57" s="652"/>
      <c r="AB57" s="652"/>
      <c r="AC57" s="652"/>
      <c r="AD57" s="652"/>
    </row>
    <row r="58" spans="1:30" ht="16.5" x14ac:dyDescent="0.35">
      <c r="A58" s="139" t="s">
        <v>1</v>
      </c>
      <c r="B58" s="343" t="s">
        <v>6</v>
      </c>
      <c r="X58" s="652"/>
      <c r="Y58" s="652"/>
      <c r="Z58" s="652"/>
      <c r="AA58" s="652"/>
      <c r="AB58" s="652"/>
      <c r="AC58" s="652"/>
      <c r="AD58" s="652"/>
    </row>
    <row r="59" spans="1:30" x14ac:dyDescent="0.35">
      <c r="A59" s="46" t="s">
        <v>76</v>
      </c>
      <c r="B59" s="545" t="e">
        <f>Sommaire!G40</f>
        <v>#VALUE!</v>
      </c>
      <c r="X59" s="652"/>
      <c r="Y59" s="652"/>
      <c r="Z59" s="652"/>
      <c r="AA59" s="652"/>
      <c r="AB59" s="652"/>
      <c r="AC59" s="652"/>
      <c r="AD59" s="652"/>
    </row>
    <row r="60" spans="1:30" x14ac:dyDescent="0.35">
      <c r="A60" s="39" t="s">
        <v>77</v>
      </c>
      <c r="B60" s="546">
        <f>Sommaire!G41</f>
        <v>0</v>
      </c>
      <c r="X60" s="652"/>
      <c r="Y60" s="652"/>
      <c r="Z60" s="652"/>
      <c r="AA60" s="652"/>
      <c r="AB60" s="652"/>
      <c r="AC60" s="652"/>
      <c r="AD60" s="652"/>
    </row>
    <row r="61" spans="1:30" x14ac:dyDescent="0.35">
      <c r="A61" s="39" t="s">
        <v>78</v>
      </c>
      <c r="B61" s="546">
        <f>Sommaire!G46</f>
        <v>0</v>
      </c>
      <c r="X61" s="652"/>
      <c r="Y61" s="652"/>
      <c r="Z61" s="652"/>
      <c r="AA61" s="652"/>
      <c r="AB61" s="652"/>
      <c r="AC61" s="652"/>
      <c r="AD61" s="652"/>
    </row>
    <row r="62" spans="1:30" x14ac:dyDescent="0.35">
      <c r="A62" s="48" t="s">
        <v>79</v>
      </c>
      <c r="B62" s="546" t="e">
        <f>Sommaire!G51</f>
        <v>#VALUE!</v>
      </c>
      <c r="X62" s="652"/>
      <c r="Y62" s="652"/>
      <c r="Z62" s="652"/>
      <c r="AA62" s="652"/>
      <c r="AB62" s="652"/>
      <c r="AC62" s="652"/>
      <c r="AD62" s="652"/>
    </row>
    <row r="63" spans="1:30" s="152" customFormat="1" x14ac:dyDescent="0.35">
      <c r="A63" s="48" t="s">
        <v>80</v>
      </c>
      <c r="B63" s="546">
        <f>Sommaire!G54</f>
        <v>0</v>
      </c>
      <c r="X63" s="652"/>
      <c r="Y63" s="652"/>
      <c r="Z63" s="652"/>
      <c r="AA63" s="652"/>
      <c r="AB63" s="652"/>
      <c r="AC63" s="652"/>
      <c r="AD63" s="652"/>
    </row>
    <row r="64" spans="1:30" x14ac:dyDescent="0.35">
      <c r="A64" s="48" t="s">
        <v>81</v>
      </c>
      <c r="B64" s="546">
        <f>Sommaire!G57</f>
        <v>0</v>
      </c>
      <c r="X64" s="652"/>
      <c r="Y64" s="652"/>
      <c r="Z64" s="652"/>
      <c r="AA64" s="652"/>
      <c r="AB64" s="652"/>
      <c r="AC64" s="652"/>
      <c r="AD64" s="652"/>
    </row>
    <row r="65" spans="1:32" x14ac:dyDescent="0.35">
      <c r="A65" s="38" t="s">
        <v>72</v>
      </c>
      <c r="B65" s="545">
        <f>Sommaire!G60</f>
        <v>0</v>
      </c>
      <c r="X65" s="652"/>
      <c r="Y65" s="652"/>
      <c r="Z65" s="652"/>
      <c r="AA65" s="652"/>
      <c r="AB65" s="652"/>
      <c r="AC65" s="652"/>
      <c r="AD65" s="652"/>
    </row>
    <row r="66" spans="1:32" x14ac:dyDescent="0.35">
      <c r="A66" s="48" t="s">
        <v>77</v>
      </c>
      <c r="B66" s="546">
        <f>Sommaire!G61</f>
        <v>0</v>
      </c>
      <c r="X66" s="652"/>
      <c r="Y66" s="652"/>
      <c r="Z66" s="652"/>
      <c r="AA66" s="652"/>
      <c r="AB66" s="652"/>
      <c r="AC66" s="652"/>
      <c r="AD66" s="652"/>
    </row>
    <row r="67" spans="1:32" x14ac:dyDescent="0.35">
      <c r="A67" s="48" t="s">
        <v>78</v>
      </c>
      <c r="B67" s="546">
        <f>Sommaire!G63</f>
        <v>0</v>
      </c>
      <c r="X67" s="652"/>
      <c r="Y67" s="652"/>
      <c r="Z67" s="652"/>
      <c r="AA67" s="652"/>
      <c r="AB67" s="652"/>
      <c r="AC67" s="652"/>
      <c r="AD67" s="652"/>
      <c r="AE67" s="563"/>
      <c r="AF67" t="s">
        <v>81</v>
      </c>
    </row>
    <row r="68" spans="1:32" ht="32.25" customHeight="1" x14ac:dyDescent="0.35">
      <c r="A68" s="48" t="s">
        <v>80</v>
      </c>
      <c r="B68" s="546">
        <f>Sommaire!G65</f>
        <v>0</v>
      </c>
      <c r="X68" s="652"/>
      <c r="Y68" s="652"/>
      <c r="Z68" s="652"/>
      <c r="AA68" s="652"/>
      <c r="AB68" s="652"/>
      <c r="AC68" s="652"/>
      <c r="AD68" s="652"/>
      <c r="AE68" s="564"/>
      <c r="AF68" s="3" t="s">
        <v>79</v>
      </c>
    </row>
    <row r="69" spans="1:32" ht="29" x14ac:dyDescent="0.35">
      <c r="A69" s="38" t="s">
        <v>82</v>
      </c>
      <c r="B69" s="545">
        <f>Sommaire!G67</f>
        <v>0</v>
      </c>
      <c r="X69" s="652"/>
      <c r="Y69" s="652"/>
      <c r="Z69" s="652"/>
      <c r="AA69" s="652"/>
      <c r="AB69" s="652"/>
      <c r="AC69" s="652"/>
      <c r="AD69" s="652"/>
      <c r="AE69" s="565"/>
      <c r="AF69" s="3" t="s">
        <v>83</v>
      </c>
    </row>
    <row r="70" spans="1:32" x14ac:dyDescent="0.35">
      <c r="A70" s="437" t="s">
        <v>84</v>
      </c>
      <c r="B70" s="547">
        <f>Sommaire!G68</f>
        <v>0</v>
      </c>
      <c r="X70" s="652"/>
      <c r="Y70" s="652"/>
      <c r="Z70" s="652"/>
      <c r="AA70" s="652"/>
      <c r="AB70" s="652"/>
      <c r="AC70" s="652"/>
      <c r="AD70" s="652"/>
      <c r="AE70" s="566"/>
      <c r="AF70" s="3" t="s">
        <v>85</v>
      </c>
    </row>
    <row r="71" spans="1:32" x14ac:dyDescent="0.35">
      <c r="A71" s="436" t="s">
        <v>52</v>
      </c>
      <c r="B71" s="547">
        <f>Sommaire!G69</f>
        <v>0</v>
      </c>
      <c r="X71" s="652"/>
      <c r="Y71" s="652"/>
      <c r="Z71" s="652"/>
      <c r="AA71" s="652"/>
      <c r="AB71" s="652"/>
      <c r="AC71" s="652"/>
      <c r="AD71" s="652"/>
      <c r="AE71" s="567"/>
      <c r="AF71" s="3" t="s">
        <v>86</v>
      </c>
    </row>
    <row r="72" spans="1:32" x14ac:dyDescent="0.35">
      <c r="A72" s="38" t="s">
        <v>53</v>
      </c>
      <c r="B72" s="545" t="e">
        <f>Sommaire!G70</f>
        <v>#VALUE!</v>
      </c>
      <c r="X72" s="652"/>
      <c r="Y72" s="652"/>
      <c r="Z72" s="652"/>
      <c r="AA72" s="652"/>
      <c r="AB72" s="652"/>
      <c r="AC72" s="652"/>
      <c r="AD72" s="652"/>
    </row>
    <row r="73" spans="1:32" ht="15" thickBot="1" x14ac:dyDescent="0.4">
      <c r="A73" s="43" t="s">
        <v>54</v>
      </c>
      <c r="B73" s="545">
        <f>Sommaire!G71</f>
        <v>0</v>
      </c>
      <c r="X73" s="652"/>
      <c r="Y73" s="652"/>
      <c r="Z73" s="652"/>
      <c r="AA73" s="652"/>
      <c r="AB73" s="652"/>
      <c r="AC73" s="652"/>
      <c r="AD73" s="652"/>
    </row>
    <row r="74" spans="1:32" x14ac:dyDescent="0.35">
      <c r="X74" s="652"/>
      <c r="Y74" s="652"/>
      <c r="Z74" s="652"/>
      <c r="AA74" s="652"/>
      <c r="AB74" s="652"/>
      <c r="AC74" s="652"/>
      <c r="AD74" s="652"/>
    </row>
    <row r="75" spans="1:32" x14ac:dyDescent="0.35">
      <c r="X75" s="652"/>
      <c r="Y75" s="652"/>
      <c r="Z75" s="652"/>
      <c r="AA75" s="652"/>
      <c r="AB75" s="652"/>
      <c r="AC75" s="652"/>
      <c r="AD75" s="652"/>
    </row>
    <row r="76" spans="1:32" x14ac:dyDescent="0.35">
      <c r="X76" s="652"/>
      <c r="Y76" s="652"/>
      <c r="Z76" s="652"/>
      <c r="AA76" s="652"/>
      <c r="AB76" s="652"/>
      <c r="AC76" s="652"/>
      <c r="AD76" s="652"/>
    </row>
    <row r="77" spans="1:32" x14ac:dyDescent="0.35">
      <c r="X77" s="652"/>
      <c r="Y77" s="652"/>
      <c r="Z77" s="652"/>
      <c r="AA77" s="652"/>
      <c r="AB77" s="652"/>
      <c r="AC77" s="652"/>
      <c r="AD77" s="652"/>
    </row>
    <row r="78" spans="1:32" x14ac:dyDescent="0.35">
      <c r="X78" s="652"/>
      <c r="Y78" s="652"/>
      <c r="Z78" s="652"/>
      <c r="AA78" s="652"/>
      <c r="AB78" s="652"/>
      <c r="AC78" s="652"/>
      <c r="AD78" s="652"/>
    </row>
    <row r="79" spans="1:32" x14ac:dyDescent="0.35">
      <c r="X79" s="652"/>
      <c r="Y79" s="652"/>
      <c r="Z79" s="652"/>
      <c r="AA79" s="652"/>
      <c r="AB79" s="652"/>
      <c r="AC79" s="652"/>
      <c r="AD79" s="652"/>
    </row>
    <row r="80" spans="1:32" x14ac:dyDescent="0.35">
      <c r="X80" s="652"/>
      <c r="Y80" s="652"/>
      <c r="Z80" s="652"/>
      <c r="AA80" s="652"/>
      <c r="AB80" s="652"/>
      <c r="AC80" s="652"/>
      <c r="AD80" s="652"/>
    </row>
    <row r="81" spans="24:30" x14ac:dyDescent="0.35">
      <c r="X81" s="652"/>
      <c r="Y81" s="652"/>
      <c r="Z81" s="652"/>
      <c r="AA81" s="652"/>
      <c r="AB81" s="652"/>
      <c r="AC81" s="652"/>
      <c r="AD81" s="652"/>
    </row>
    <row r="82" spans="24:30" x14ac:dyDescent="0.35">
      <c r="X82" s="652"/>
      <c r="Y82" s="652"/>
      <c r="Z82" s="652"/>
      <c r="AA82" s="652"/>
      <c r="AB82" s="652"/>
      <c r="AC82" s="652"/>
      <c r="AD82" s="652"/>
    </row>
    <row r="83" spans="24:30" x14ac:dyDescent="0.35">
      <c r="X83" s="652"/>
      <c r="Y83" s="652"/>
      <c r="Z83" s="652"/>
      <c r="AA83" s="652"/>
      <c r="AB83" s="652"/>
      <c r="AC83" s="652"/>
      <c r="AD83" s="652"/>
    </row>
    <row r="84" spans="24:30" x14ac:dyDescent="0.35">
      <c r="X84" s="652"/>
      <c r="Y84" s="652"/>
      <c r="Z84" s="652"/>
      <c r="AA84" s="652"/>
      <c r="AB84" s="652"/>
      <c r="AC84" s="652"/>
      <c r="AD84" s="652"/>
    </row>
    <row r="85" spans="24:30" x14ac:dyDescent="0.35">
      <c r="X85" s="652"/>
      <c r="Y85" s="652"/>
      <c r="Z85" s="652"/>
      <c r="AA85" s="652"/>
      <c r="AB85" s="652"/>
      <c r="AC85" s="652"/>
      <c r="AD85" s="652"/>
    </row>
    <row r="86" spans="24:30" x14ac:dyDescent="0.35">
      <c r="X86" s="652"/>
      <c r="Y86" s="652"/>
      <c r="Z86" s="652"/>
      <c r="AA86" s="652"/>
      <c r="AB86" s="652"/>
      <c r="AC86" s="652"/>
      <c r="AD86" s="652"/>
    </row>
    <row r="87" spans="24:30" x14ac:dyDescent="0.35">
      <c r="X87" s="652"/>
      <c r="Y87" s="652"/>
      <c r="Z87" s="652"/>
      <c r="AA87" s="652"/>
      <c r="AB87" s="652"/>
      <c r="AC87" s="652"/>
      <c r="AD87" s="652"/>
    </row>
    <row r="88" spans="24:30" x14ac:dyDescent="0.35">
      <c r="X88" s="652"/>
      <c r="Y88" s="652"/>
      <c r="Z88" s="652"/>
      <c r="AA88" s="652"/>
      <c r="AB88" s="652"/>
      <c r="AC88" s="652"/>
      <c r="AD88" s="652"/>
    </row>
    <row r="89" spans="24:30" x14ac:dyDescent="0.35">
      <c r="X89" s="652"/>
      <c r="Y89" s="652"/>
      <c r="Z89" s="652"/>
      <c r="AA89" s="652"/>
      <c r="AB89" s="652"/>
      <c r="AC89" s="652"/>
      <c r="AD89" s="652"/>
    </row>
    <row r="90" spans="24:30" x14ac:dyDescent="0.35">
      <c r="X90" s="652"/>
      <c r="Y90" s="652"/>
      <c r="Z90" s="652"/>
      <c r="AA90" s="652"/>
      <c r="AB90" s="652"/>
      <c r="AC90" s="652"/>
      <c r="AD90" s="652"/>
    </row>
    <row r="91" spans="24:30" x14ac:dyDescent="0.35">
      <c r="X91" s="652"/>
      <c r="Y91" s="652"/>
      <c r="Z91" s="652"/>
      <c r="AA91" s="652"/>
      <c r="AB91" s="652"/>
      <c r="AC91" s="652"/>
      <c r="AD91" s="652"/>
    </row>
    <row r="92" spans="24:30" x14ac:dyDescent="0.35">
      <c r="X92" s="652"/>
      <c r="Y92" s="652"/>
      <c r="Z92" s="652"/>
      <c r="AA92" s="652"/>
      <c r="AB92" s="652"/>
      <c r="AC92" s="652"/>
      <c r="AD92" s="652"/>
    </row>
    <row r="93" spans="24:30" x14ac:dyDescent="0.35">
      <c r="X93" s="652"/>
      <c r="Y93" s="652"/>
      <c r="Z93" s="652"/>
      <c r="AA93" s="652"/>
      <c r="AB93" s="652"/>
      <c r="AC93" s="652"/>
      <c r="AD93" s="652"/>
    </row>
    <row r="94" spans="24:30" x14ac:dyDescent="0.35">
      <c r="X94" s="652"/>
      <c r="Y94" s="652"/>
      <c r="Z94" s="652"/>
      <c r="AA94" s="652"/>
      <c r="AB94" s="652"/>
      <c r="AC94" s="652"/>
      <c r="AD94" s="652"/>
    </row>
    <row r="117" spans="29:31" x14ac:dyDescent="0.35">
      <c r="AC117" s="656" t="s">
        <v>87</v>
      </c>
      <c r="AD117" s="657"/>
      <c r="AE117" s="657"/>
    </row>
    <row r="118" spans="29:31" x14ac:dyDescent="0.35">
      <c r="AC118" s="657"/>
      <c r="AD118" s="657"/>
      <c r="AE118" s="657"/>
    </row>
    <row r="119" spans="29:31" x14ac:dyDescent="0.35">
      <c r="AC119" s="657"/>
      <c r="AD119" s="657"/>
      <c r="AE119" s="657"/>
    </row>
    <row r="120" spans="29:31" x14ac:dyDescent="0.35">
      <c r="AC120" s="657"/>
      <c r="AD120" s="657"/>
      <c r="AE120" s="657"/>
    </row>
    <row r="121" spans="29:31" x14ac:dyDescent="0.35">
      <c r="AC121" s="657"/>
      <c r="AD121" s="657"/>
      <c r="AE121" s="657"/>
    </row>
    <row r="122" spans="29:31" x14ac:dyDescent="0.35">
      <c r="AC122" s="657"/>
      <c r="AD122" s="657"/>
      <c r="AE122" s="657"/>
    </row>
    <row r="123" spans="29:31" x14ac:dyDescent="0.35">
      <c r="AC123" s="657"/>
      <c r="AD123" s="657"/>
      <c r="AE123" s="657"/>
    </row>
    <row r="124" spans="29:31" x14ac:dyDescent="0.35">
      <c r="AC124" s="657"/>
      <c r="AD124" s="657"/>
      <c r="AE124" s="657"/>
    </row>
    <row r="125" spans="29:31" x14ac:dyDescent="0.35">
      <c r="AC125" s="657"/>
      <c r="AD125" s="657"/>
      <c r="AE125" s="657"/>
    </row>
    <row r="126" spans="29:31" x14ac:dyDescent="0.35">
      <c r="AC126" s="657"/>
      <c r="AD126" s="657"/>
      <c r="AE126" s="657"/>
    </row>
    <row r="127" spans="29:31" x14ac:dyDescent="0.35">
      <c r="AC127" s="657"/>
      <c r="AD127" s="657"/>
      <c r="AE127" s="657"/>
    </row>
    <row r="128" spans="29:31" x14ac:dyDescent="0.35">
      <c r="AC128" s="657"/>
      <c r="AD128" s="657"/>
      <c r="AE128" s="657"/>
    </row>
    <row r="129" spans="29:31" x14ac:dyDescent="0.35">
      <c r="AC129" s="657"/>
      <c r="AD129" s="657"/>
      <c r="AE129" s="657"/>
    </row>
    <row r="130" spans="29:31" x14ac:dyDescent="0.35">
      <c r="AC130" s="657"/>
      <c r="AD130" s="657"/>
      <c r="AE130" s="657"/>
    </row>
    <row r="131" spans="29:31" x14ac:dyDescent="0.35">
      <c r="AC131" s="657"/>
      <c r="AD131" s="657"/>
      <c r="AE131" s="657"/>
    </row>
    <row r="132" spans="29:31" x14ac:dyDescent="0.35">
      <c r="AC132" s="657"/>
      <c r="AD132" s="657"/>
      <c r="AE132" s="657"/>
    </row>
    <row r="133" spans="29:31" x14ac:dyDescent="0.35">
      <c r="AC133" s="657"/>
      <c r="AD133" s="657"/>
      <c r="AE133" s="657"/>
    </row>
    <row r="134" spans="29:31" x14ac:dyDescent="0.35">
      <c r="AC134" s="657"/>
      <c r="AD134" s="657"/>
      <c r="AE134" s="657"/>
    </row>
    <row r="135" spans="29:31" x14ac:dyDescent="0.35">
      <c r="AC135" s="657"/>
      <c r="AD135" s="657"/>
      <c r="AE135" s="657"/>
    </row>
    <row r="136" spans="29:31" x14ac:dyDescent="0.35">
      <c r="AC136" s="657"/>
      <c r="AD136" s="657"/>
      <c r="AE136" s="657"/>
    </row>
    <row r="137" spans="29:31" x14ac:dyDescent="0.35">
      <c r="AC137" s="657"/>
      <c r="AD137" s="657"/>
      <c r="AE137" s="657"/>
    </row>
    <row r="138" spans="29:31" x14ac:dyDescent="0.35">
      <c r="AC138" s="657"/>
      <c r="AD138" s="657"/>
      <c r="AE138" s="657"/>
    </row>
    <row r="139" spans="29:31" x14ac:dyDescent="0.35">
      <c r="AC139" s="657"/>
      <c r="AD139" s="657"/>
      <c r="AE139" s="657"/>
    </row>
    <row r="140" spans="29:31" x14ac:dyDescent="0.35">
      <c r="AC140" s="657"/>
      <c r="AD140" s="657"/>
      <c r="AE140" s="657"/>
    </row>
    <row r="141" spans="29:31" x14ac:dyDescent="0.35">
      <c r="AC141" s="657"/>
      <c r="AD141" s="657"/>
      <c r="AE141" s="657"/>
    </row>
    <row r="142" spans="29:31" x14ac:dyDescent="0.35">
      <c r="AC142" s="657"/>
      <c r="AD142" s="657"/>
      <c r="AE142" s="657"/>
    </row>
    <row r="143" spans="29:31" x14ac:dyDescent="0.35">
      <c r="AC143" s="657"/>
      <c r="AD143" s="657"/>
      <c r="AE143" s="657"/>
    </row>
    <row r="144" spans="29:31" x14ac:dyDescent="0.35">
      <c r="AC144" s="657"/>
      <c r="AD144" s="657"/>
      <c r="AE144" s="657"/>
    </row>
    <row r="145" spans="29:33" x14ac:dyDescent="0.35">
      <c r="AC145" s="657"/>
      <c r="AD145" s="657"/>
      <c r="AE145" s="657"/>
    </row>
    <row r="146" spans="29:33" x14ac:dyDescent="0.35">
      <c r="AC146" s="657"/>
      <c r="AD146" s="657"/>
      <c r="AE146" s="657"/>
      <c r="AF146" s="574"/>
      <c r="AG146" t="s">
        <v>88</v>
      </c>
    </row>
    <row r="147" spans="29:33" x14ac:dyDescent="0.35">
      <c r="AC147" s="657"/>
      <c r="AD147" s="657"/>
      <c r="AE147" s="657"/>
      <c r="AF147" s="572"/>
      <c r="AG147" t="s">
        <v>89</v>
      </c>
    </row>
    <row r="148" spans="29:33" x14ac:dyDescent="0.35">
      <c r="AC148" s="657"/>
      <c r="AD148" s="657"/>
      <c r="AE148" s="657"/>
      <c r="AF148" s="568"/>
      <c r="AG148" t="s">
        <v>90</v>
      </c>
    </row>
    <row r="149" spans="29:33" x14ac:dyDescent="0.35">
      <c r="AC149" s="657"/>
      <c r="AD149" s="657"/>
      <c r="AE149" s="657"/>
      <c r="AF149" s="569"/>
      <c r="AG149" t="s">
        <v>24</v>
      </c>
    </row>
    <row r="150" spans="29:33" x14ac:dyDescent="0.35">
      <c r="AC150" s="657"/>
      <c r="AD150" s="657"/>
      <c r="AE150" s="657"/>
      <c r="AF150" s="570"/>
      <c r="AG150" t="s">
        <v>25</v>
      </c>
    </row>
    <row r="151" spans="29:33" x14ac:dyDescent="0.35">
      <c r="AC151" s="657"/>
      <c r="AD151" s="657"/>
      <c r="AE151" s="657"/>
      <c r="AF151" s="571"/>
      <c r="AG151" t="s">
        <v>26</v>
      </c>
    </row>
    <row r="152" spans="29:33" x14ac:dyDescent="0.35">
      <c r="AC152" s="657"/>
      <c r="AD152" s="657"/>
      <c r="AE152" s="657"/>
      <c r="AF152" s="573"/>
      <c r="AG152" t="s">
        <v>91</v>
      </c>
    </row>
    <row r="153" spans="29:33" x14ac:dyDescent="0.35">
      <c r="AC153" s="657"/>
      <c r="AD153" s="657"/>
      <c r="AE153" s="657"/>
    </row>
  </sheetData>
  <sheetProtection algorithmName="SHA-512" hashValue="i8jbwdzvhEWrRukyEq9PFfMsFiQSZLITdUaDfbKIQrUShXImrvqZOWHo+w1vkWD2zJs2JZJnaDTZsxUT6Jcstg==" saltValue="fOPPXpNZEY+1q0VKVTqipA==" spinCount="100000" sheet="1" formatCells="0" formatColumns="0" formatRows="0" insertColumns="0" insertRows="0" insertHyperlinks="0" deleteColumns="0" deleteRows="0" sort="0" autoFilter="0" pivotTables="0"/>
  <mergeCells count="3">
    <mergeCell ref="X3:AB43"/>
    <mergeCell ref="X53:AD94"/>
    <mergeCell ref="AC117:AE15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DC20-7B7C-4A7E-972E-FECEFF2E9DC1}">
  <dimension ref="B1:V367"/>
  <sheetViews>
    <sheetView zoomScale="83" workbookViewId="0">
      <selection activeCell="G307" sqref="G307"/>
    </sheetView>
  </sheetViews>
  <sheetFormatPr baseColWidth="10" defaultColWidth="11.453125" defaultRowHeight="14.5" x14ac:dyDescent="0.35"/>
  <cols>
    <col min="2" max="2" width="63.1796875" customWidth="1"/>
    <col min="3" max="3" width="23.7265625" style="9" customWidth="1"/>
    <col min="4" max="4" width="20.1796875" style="9" customWidth="1"/>
    <col min="5" max="5" width="18.7265625" style="9" customWidth="1"/>
    <col min="6" max="7" width="18.453125" style="9" customWidth="1"/>
    <col min="8" max="8" width="51" style="9" customWidth="1"/>
    <col min="9" max="9" width="14.26953125" style="9" customWidth="1"/>
    <col min="10" max="10" width="15" style="9" customWidth="1"/>
    <col min="12" max="12" width="30.26953125" customWidth="1"/>
    <col min="22" max="23" width="22.26953125" customWidth="1"/>
  </cols>
  <sheetData>
    <row r="1" spans="2:13" ht="19" thickBot="1" x14ac:dyDescent="0.4">
      <c r="I1" s="673"/>
      <c r="J1" s="673"/>
    </row>
    <row r="2" spans="2:13" ht="21" x14ac:dyDescent="0.5">
      <c r="B2" s="681" t="s">
        <v>92</v>
      </c>
      <c r="C2" s="682"/>
      <c r="D2" s="682"/>
      <c r="E2" s="682"/>
      <c r="F2" s="682"/>
      <c r="G2" s="683"/>
      <c r="H2" s="684"/>
      <c r="I2" s="102"/>
      <c r="J2" s="103"/>
    </row>
    <row r="3" spans="2:13" ht="21" x14ac:dyDescent="0.5">
      <c r="B3" s="262"/>
      <c r="C3" s="262"/>
      <c r="D3" s="262"/>
      <c r="E3" s="262"/>
      <c r="F3" s="262"/>
      <c r="G3" s="262"/>
      <c r="H3" s="262"/>
      <c r="I3" s="103"/>
      <c r="J3" s="103"/>
    </row>
    <row r="4" spans="2:13" x14ac:dyDescent="0.35">
      <c r="B4" s="97" t="s">
        <v>93</v>
      </c>
      <c r="C4" s="100">
        <f>SUM(C5:C9)</f>
        <v>0</v>
      </c>
      <c r="D4" s="100">
        <f>SUM(D5:D8)</f>
        <v>0</v>
      </c>
      <c r="E4" s="100">
        <f>SUM(E5:E8)</f>
        <v>0</v>
      </c>
      <c r="F4" s="100">
        <f>SUM(F5:F8)</f>
        <v>0</v>
      </c>
      <c r="G4" s="100"/>
      <c r="H4" s="100">
        <f>SUM(H5:H8)</f>
        <v>0</v>
      </c>
      <c r="I4" s="101"/>
      <c r="J4" s="31"/>
    </row>
    <row r="5" spans="2:13" x14ac:dyDescent="0.35">
      <c r="B5" s="98" t="s">
        <v>94</v>
      </c>
      <c r="C5" s="100">
        <f t="shared" ref="C5:F8" si="0">C13+C22+C31+C40+C49+C58+C67+C76+C85+C94+C103+C112+C121+C130+C139+C148+C157+C166+C175+C184+C193+C202+C211+C220+C229+C238+C247+C256+C265</f>
        <v>0</v>
      </c>
      <c r="D5" s="100">
        <f t="shared" si="0"/>
        <v>0</v>
      </c>
      <c r="E5" s="100">
        <f t="shared" si="0"/>
        <v>0</v>
      </c>
      <c r="F5" s="100">
        <f t="shared" si="0"/>
        <v>0</v>
      </c>
      <c r="G5" s="100" t="s">
        <v>8</v>
      </c>
      <c r="H5" s="100">
        <f>H13+H22+H31+H40+H49+H58+H67+H76+H85+H94+H103+H112+H121+H130+H139+H148+H157+H166+H175+H184+H193+H202+H211+H220+H229+H238+H247+H256+H265</f>
        <v>0</v>
      </c>
      <c r="I5" s="101"/>
      <c r="J5" s="31"/>
    </row>
    <row r="6" spans="2:13" x14ac:dyDescent="0.35">
      <c r="B6" s="98" t="s">
        <v>95</v>
      </c>
      <c r="C6" s="100">
        <f t="shared" si="0"/>
        <v>0</v>
      </c>
      <c r="D6" s="100">
        <f t="shared" si="0"/>
        <v>0</v>
      </c>
      <c r="E6" s="100">
        <f t="shared" si="0"/>
        <v>0</v>
      </c>
      <c r="F6" s="100">
        <f t="shared" si="0"/>
        <v>0</v>
      </c>
      <c r="G6" s="100" t="s">
        <v>8</v>
      </c>
      <c r="H6" s="100">
        <f>H14+H23+H32+H41+H50+H59+H68+H77+H86+H95+H104+H113+H122+H131+H140+H149+H158+H167+H176+H185+H194+H203+H212+H221+H230+H239+H248+H257+H266</f>
        <v>0</v>
      </c>
      <c r="I6" s="101"/>
      <c r="J6" s="31"/>
    </row>
    <row r="7" spans="2:13" x14ac:dyDescent="0.35">
      <c r="B7" s="98" t="s">
        <v>96</v>
      </c>
      <c r="C7" s="100">
        <f t="shared" si="0"/>
        <v>0</v>
      </c>
      <c r="D7" s="100">
        <f t="shared" si="0"/>
        <v>0</v>
      </c>
      <c r="E7" s="100">
        <f t="shared" si="0"/>
        <v>0</v>
      </c>
      <c r="F7" s="100">
        <f t="shared" si="0"/>
        <v>0</v>
      </c>
      <c r="G7" s="100" t="s">
        <v>8</v>
      </c>
      <c r="H7" s="100">
        <f>H15+H24+H33+H42+H51+H60+H69+H78+H87+H96+H105+H114+H123+H132+H141+H150+H159+H168+H177+H186+H195+H204+H213+H222+H231+H240+H249+H258+H267</f>
        <v>0</v>
      </c>
      <c r="I7" s="30"/>
      <c r="J7" s="31"/>
    </row>
    <row r="8" spans="2:13" x14ac:dyDescent="0.35">
      <c r="B8" s="98" t="s">
        <v>97</v>
      </c>
      <c r="C8" s="100">
        <f t="shared" si="0"/>
        <v>0</v>
      </c>
      <c r="D8" s="100">
        <f t="shared" si="0"/>
        <v>0</v>
      </c>
      <c r="E8" s="100">
        <f t="shared" si="0"/>
        <v>0</v>
      </c>
      <c r="F8" s="100">
        <f t="shared" si="0"/>
        <v>0</v>
      </c>
      <c r="G8" s="100" t="s">
        <v>8</v>
      </c>
      <c r="H8" s="100">
        <f>H16+H25+H34+H43+H52+H61+H70+H79+H88+H97+H106+H115+H124+H133+H142+H151+H160+H169+H178+H187+H196+H205+H214+H223+H232+H241+H250+H259+H268</f>
        <v>0</v>
      </c>
      <c r="I8" s="30"/>
      <c r="J8" s="31"/>
    </row>
    <row r="9" spans="2:13" x14ac:dyDescent="0.35">
      <c r="B9" s="99" t="s">
        <v>14</v>
      </c>
      <c r="C9" s="100">
        <f>C18+C27+C36+C45+C54+C63+C72+C81+C90+C99+C108+C117+C126+C135+C144+C153+C162+C171+C180+C189+C198+C207+C216+C225+C234+C243+C252+C261+C270</f>
        <v>0</v>
      </c>
      <c r="D9" s="100" t="s">
        <v>8</v>
      </c>
      <c r="E9" s="100" t="s">
        <v>8</v>
      </c>
      <c r="F9" s="100" t="s">
        <v>8</v>
      </c>
      <c r="G9" s="100"/>
      <c r="H9" s="323">
        <f>L18+L27+L36+L45+L54+L63+L72+L81+L90+L99+L108+L117+L126+L135+L144+L153+L162+L171+L180+L189+L198+L207+L216+L225+L234+L243+L252+L261+L270</f>
        <v>0</v>
      </c>
      <c r="I9" s="685"/>
      <c r="J9" s="686"/>
      <c r="K9" s="686"/>
      <c r="L9" s="686"/>
      <c r="M9" s="686"/>
    </row>
    <row r="10" spans="2:13" ht="16.5" x14ac:dyDescent="0.35">
      <c r="B10" s="658" t="s">
        <v>98</v>
      </c>
      <c r="C10" s="659" t="s">
        <v>99</v>
      </c>
      <c r="D10" s="660" t="s">
        <v>100</v>
      </c>
      <c r="E10" s="661"/>
      <c r="F10" s="661"/>
      <c r="G10" s="662"/>
      <c r="H10" s="52" t="s">
        <v>101</v>
      </c>
      <c r="I10" s="284"/>
      <c r="J10" s="284"/>
      <c r="K10" s="284"/>
      <c r="L10" s="284"/>
      <c r="M10" s="284"/>
    </row>
    <row r="11" spans="2:13" ht="31" x14ac:dyDescent="0.35">
      <c r="B11" s="658"/>
      <c r="C11" s="659"/>
      <c r="D11" s="52" t="s">
        <v>102</v>
      </c>
      <c r="E11" s="52" t="s">
        <v>103</v>
      </c>
      <c r="F11" s="52" t="s">
        <v>104</v>
      </c>
      <c r="G11" s="52" t="s">
        <v>5</v>
      </c>
      <c r="H11" s="52" t="s">
        <v>105</v>
      </c>
      <c r="I11" s="284"/>
      <c r="J11" s="284"/>
      <c r="K11" s="284"/>
      <c r="L11" s="284"/>
      <c r="M11" s="284"/>
    </row>
    <row r="12" spans="2:13" x14ac:dyDescent="0.35">
      <c r="B12" s="51" t="s">
        <v>106</v>
      </c>
      <c r="C12" s="110"/>
      <c r="D12" s="110"/>
      <c r="E12" s="110"/>
      <c r="F12" s="110"/>
      <c r="G12" s="110"/>
      <c r="H12" s="110"/>
      <c r="I12" s="30"/>
      <c r="J12" s="31"/>
    </row>
    <row r="13" spans="2:13" ht="16.5" x14ac:dyDescent="0.35">
      <c r="B13" s="37" t="s">
        <v>107</v>
      </c>
      <c r="C13" s="5">
        <f>Données!P4</f>
        <v>0</v>
      </c>
      <c r="D13" s="5">
        <f>C13*FE!C6</f>
        <v>0</v>
      </c>
      <c r="E13" s="5">
        <f>C13*FE!D6</f>
        <v>0</v>
      </c>
      <c r="F13" s="5">
        <f>C13*FE!E6</f>
        <v>0</v>
      </c>
      <c r="G13" s="5" t="s">
        <v>8</v>
      </c>
      <c r="H13" s="5">
        <f>((D13*PRG!B$4)+(E13*PRG!C$4)+(F13*PRG!D$4))/1000000</f>
        <v>0</v>
      </c>
      <c r="I13" s="30"/>
      <c r="J13" s="31"/>
    </row>
    <row r="14" spans="2:13" x14ac:dyDescent="0.35">
      <c r="B14" s="37" t="s">
        <v>108</v>
      </c>
      <c r="C14" s="5">
        <f>Données!P5</f>
        <v>0</v>
      </c>
      <c r="D14" s="5">
        <f>C14*FE!C9</f>
        <v>0</v>
      </c>
      <c r="E14" s="5">
        <f>C14*FE!D9</f>
        <v>0</v>
      </c>
      <c r="F14" s="5">
        <f>C14*FE!E9</f>
        <v>0</v>
      </c>
      <c r="G14" s="5" t="s">
        <v>8</v>
      </c>
      <c r="H14" s="5">
        <f>((D14*PRG!B$4)+(E14*PRG!C$4)+(F14*PRG!D$4))/1000000</f>
        <v>0</v>
      </c>
      <c r="I14" s="30"/>
      <c r="J14" s="31"/>
    </row>
    <row r="15" spans="2:13" x14ac:dyDescent="0.35">
      <c r="B15" s="37" t="s">
        <v>109</v>
      </c>
      <c r="C15" s="5">
        <f>Données!P6</f>
        <v>0</v>
      </c>
      <c r="D15" s="5">
        <f>C15*FE!C87</f>
        <v>0</v>
      </c>
      <c r="E15" s="5">
        <f>C15*FE!D87</f>
        <v>0</v>
      </c>
      <c r="F15" s="5">
        <f>C15*FE!E87</f>
        <v>0</v>
      </c>
      <c r="G15" s="5" t="s">
        <v>8</v>
      </c>
      <c r="H15" s="5">
        <f>((D15*PRG!B$4)+(E15*PRG!C$4)+(F15*PRG!D$4))/1000000</f>
        <v>0</v>
      </c>
      <c r="I15" s="30"/>
      <c r="J15" s="31"/>
    </row>
    <row r="16" spans="2:13" x14ac:dyDescent="0.35">
      <c r="B16" s="37" t="s">
        <v>110</v>
      </c>
      <c r="C16" s="5">
        <f>Données!P7</f>
        <v>0</v>
      </c>
      <c r="D16" s="5">
        <f>C16*FE!C10</f>
        <v>0</v>
      </c>
      <c r="E16" s="5">
        <f>C16*FE!D10</f>
        <v>0</v>
      </c>
      <c r="F16" s="5">
        <f>C16*FE!E10</f>
        <v>0</v>
      </c>
      <c r="G16" s="5" t="s">
        <v>8</v>
      </c>
      <c r="H16" s="5">
        <f>((D16*PRG!B$4)+(E16*PRG!C$4)+(F16*PRG!D$4))/1000000</f>
        <v>0</v>
      </c>
      <c r="I16" s="30"/>
      <c r="J16" s="31"/>
    </row>
    <row r="17" spans="2:22" ht="45.5" x14ac:dyDescent="0.35">
      <c r="B17" s="37"/>
      <c r="C17" s="292" t="s">
        <v>111</v>
      </c>
      <c r="D17" s="292" t="s">
        <v>112</v>
      </c>
      <c r="E17" s="292" t="s">
        <v>113</v>
      </c>
      <c r="F17" s="292" t="s">
        <v>114</v>
      </c>
      <c r="G17" s="292" t="s">
        <v>115</v>
      </c>
      <c r="H17" s="292" t="s">
        <v>116</v>
      </c>
      <c r="I17" s="293" t="s">
        <v>117</v>
      </c>
      <c r="J17" s="293" t="s">
        <v>118</v>
      </c>
      <c r="K17" s="292" t="s">
        <v>119</v>
      </c>
      <c r="L17" s="292" t="s">
        <v>120</v>
      </c>
      <c r="N17" s="687" t="s">
        <v>121</v>
      </c>
      <c r="O17" s="687"/>
      <c r="P17" s="687"/>
      <c r="Q17" s="687"/>
      <c r="R17" s="687"/>
      <c r="S17" s="687"/>
      <c r="T17" s="687"/>
      <c r="U17" s="687"/>
      <c r="V17" s="687"/>
    </row>
    <row r="18" spans="2:22" x14ac:dyDescent="0.35">
      <c r="B18" s="37" t="s">
        <v>122</v>
      </c>
      <c r="C18" s="226">
        <v>0</v>
      </c>
      <c r="D18" s="5">
        <v>0.01</v>
      </c>
      <c r="E18" s="5">
        <f>Données!P8</f>
        <v>0</v>
      </c>
      <c r="F18" s="5">
        <v>0.1</v>
      </c>
      <c r="G18" s="226">
        <v>1</v>
      </c>
      <c r="H18" s="226">
        <v>0</v>
      </c>
      <c r="I18" s="275">
        <v>0.8</v>
      </c>
      <c r="J18" s="275">
        <v>0.8</v>
      </c>
      <c r="K18" s="12">
        <f>((C18*(D18/100))+(E18*(F18/100)*G18)+(H18*(I18/100)*(1-(J18/100))))</f>
        <v>0</v>
      </c>
      <c r="L18" s="12">
        <f>(K18/1000)*PRG!D19</f>
        <v>0</v>
      </c>
      <c r="N18" s="687"/>
      <c r="O18" s="687"/>
      <c r="P18" s="687"/>
      <c r="Q18" s="687"/>
      <c r="R18" s="687"/>
      <c r="S18" s="687"/>
      <c r="T18" s="687"/>
      <c r="U18" s="687"/>
      <c r="V18" s="687"/>
    </row>
    <row r="19" spans="2:22" ht="16.5" x14ac:dyDescent="0.35">
      <c r="B19" s="658" t="s">
        <v>98</v>
      </c>
      <c r="C19" s="659" t="s">
        <v>99</v>
      </c>
      <c r="D19" s="660" t="s">
        <v>100</v>
      </c>
      <c r="E19" s="661"/>
      <c r="F19" s="661"/>
      <c r="G19" s="662"/>
      <c r="H19" s="52" t="s">
        <v>101</v>
      </c>
      <c r="I19" s="274"/>
      <c r="J19" s="274"/>
      <c r="K19" s="2"/>
      <c r="L19" s="2"/>
      <c r="N19" s="687"/>
      <c r="O19" s="687"/>
      <c r="P19" s="687"/>
      <c r="Q19" s="687"/>
      <c r="R19" s="687"/>
      <c r="S19" s="687"/>
      <c r="T19" s="687"/>
      <c r="U19" s="687"/>
      <c r="V19" s="687"/>
    </row>
    <row r="20" spans="2:22" ht="31" x14ac:dyDescent="0.35">
      <c r="B20" s="658"/>
      <c r="C20" s="659"/>
      <c r="D20" s="52" t="s">
        <v>102</v>
      </c>
      <c r="E20" s="52" t="s">
        <v>103</v>
      </c>
      <c r="F20" s="52" t="s">
        <v>104</v>
      </c>
      <c r="G20" s="52" t="s">
        <v>5</v>
      </c>
      <c r="H20" s="52" t="s">
        <v>105</v>
      </c>
      <c r="I20" s="274"/>
      <c r="J20" s="274"/>
      <c r="K20" s="2"/>
      <c r="L20" s="2"/>
      <c r="N20" s="687"/>
      <c r="O20" s="687"/>
      <c r="P20" s="687"/>
      <c r="Q20" s="687"/>
      <c r="R20" s="687"/>
      <c r="S20" s="687"/>
      <c r="T20" s="687"/>
      <c r="U20" s="687"/>
      <c r="V20" s="687"/>
    </row>
    <row r="21" spans="2:22" x14ac:dyDescent="0.35">
      <c r="B21" s="53" t="s">
        <v>123</v>
      </c>
      <c r="C21" s="111"/>
      <c r="D21" s="111"/>
      <c r="E21" s="111"/>
      <c r="F21" s="111"/>
      <c r="G21" s="111"/>
      <c r="H21" s="111"/>
      <c r="I21" s="30"/>
      <c r="J21" s="31"/>
      <c r="N21" s="687"/>
      <c r="O21" s="687"/>
      <c r="P21" s="687"/>
      <c r="Q21" s="687"/>
      <c r="R21" s="687"/>
      <c r="S21" s="687"/>
      <c r="T21" s="687"/>
      <c r="U21" s="687"/>
      <c r="V21" s="687"/>
    </row>
    <row r="22" spans="2:22" ht="16.5" x14ac:dyDescent="0.35">
      <c r="B22" s="37" t="s">
        <v>107</v>
      </c>
      <c r="C22" s="5">
        <f>Données!P9</f>
        <v>0</v>
      </c>
      <c r="D22" s="5">
        <f>C22*FE!C6</f>
        <v>0</v>
      </c>
      <c r="E22" s="5">
        <f>C22*FE!D6</f>
        <v>0</v>
      </c>
      <c r="F22" s="5">
        <f>C22*FE!E6</f>
        <v>0</v>
      </c>
      <c r="G22" s="5" t="s">
        <v>8</v>
      </c>
      <c r="H22" s="5">
        <f>((D22*PRG!B$4)+(E22*PRG!C$4)+(F22*PRG!D$4))/1000000</f>
        <v>0</v>
      </c>
      <c r="I22" s="30"/>
      <c r="J22" s="31"/>
    </row>
    <row r="23" spans="2:22" x14ac:dyDescent="0.35">
      <c r="B23" s="37" t="s">
        <v>124</v>
      </c>
      <c r="C23" s="5">
        <f>Données!P10</f>
        <v>0</v>
      </c>
      <c r="D23" s="5">
        <f>C23*FE!C9</f>
        <v>0</v>
      </c>
      <c r="E23" s="5">
        <f>C23*FE!D9</f>
        <v>0</v>
      </c>
      <c r="F23" s="5">
        <f>C23*FE!E9</f>
        <v>0</v>
      </c>
      <c r="G23" s="5" t="s">
        <v>8</v>
      </c>
      <c r="H23" s="5">
        <f>((D23*PRG!B$4)+(E23*PRG!C$4)+(F23*PRG!D$4))/1000000</f>
        <v>0</v>
      </c>
      <c r="I23" s="30"/>
      <c r="J23" s="31"/>
    </row>
    <row r="24" spans="2:22" x14ac:dyDescent="0.35">
      <c r="B24" s="37" t="s">
        <v>109</v>
      </c>
      <c r="C24" s="5">
        <f>Données!P11</f>
        <v>0</v>
      </c>
      <c r="D24" s="5">
        <f>C24*FE!C87</f>
        <v>0</v>
      </c>
      <c r="E24" s="5">
        <f>C24*FE!D87</f>
        <v>0</v>
      </c>
      <c r="F24" s="5">
        <f>C24*FE!E87</f>
        <v>0</v>
      </c>
      <c r="G24" s="5" t="s">
        <v>8</v>
      </c>
      <c r="H24" s="5">
        <f>((D24*PRG!B$4)+(E24*PRG!C$4)+(F24*PRG!D$4))/1000000</f>
        <v>0</v>
      </c>
      <c r="I24" s="30"/>
      <c r="J24" s="31"/>
    </row>
    <row r="25" spans="2:22" x14ac:dyDescent="0.35">
      <c r="B25" s="37" t="s">
        <v>125</v>
      </c>
      <c r="C25" s="5">
        <f>Données!P12</f>
        <v>0</v>
      </c>
      <c r="D25" s="5">
        <f>C25*FE!C10</f>
        <v>0</v>
      </c>
      <c r="E25" s="5">
        <f>C25*FE!D10</f>
        <v>0</v>
      </c>
      <c r="F25" s="5">
        <f>C25*FE!E10</f>
        <v>0</v>
      </c>
      <c r="G25" s="5" t="s">
        <v>8</v>
      </c>
      <c r="H25" s="5">
        <f>((D25*PRG!B$4)+(E25*PRG!C$4)+(F25*PRG!D$4))/1000000</f>
        <v>0</v>
      </c>
      <c r="I25" s="30"/>
      <c r="J25" s="31"/>
    </row>
    <row r="26" spans="2:22" ht="43.5" x14ac:dyDescent="0.35">
      <c r="B26" s="37"/>
      <c r="C26" s="292" t="s">
        <v>111</v>
      </c>
      <c r="D26" s="292" t="s">
        <v>126</v>
      </c>
      <c r="E26" s="292" t="s">
        <v>113</v>
      </c>
      <c r="F26" s="292" t="s">
        <v>127</v>
      </c>
      <c r="G26" s="292" t="s">
        <v>115</v>
      </c>
      <c r="H26" s="292" t="s">
        <v>116</v>
      </c>
      <c r="I26" s="293" t="s">
        <v>128</v>
      </c>
      <c r="J26" s="293" t="s">
        <v>129</v>
      </c>
      <c r="K26" s="292" t="s">
        <v>119</v>
      </c>
      <c r="L26" s="292" t="s">
        <v>130</v>
      </c>
    </row>
    <row r="27" spans="2:22" x14ac:dyDescent="0.35">
      <c r="B27" s="37" t="s">
        <v>14</v>
      </c>
      <c r="C27" s="276">
        <f>Données!P13</f>
        <v>0</v>
      </c>
      <c r="D27" s="276">
        <v>1</v>
      </c>
      <c r="E27" s="276">
        <f>Données!P13</f>
        <v>0</v>
      </c>
      <c r="F27" s="276">
        <v>10</v>
      </c>
      <c r="G27" s="276">
        <v>0</v>
      </c>
      <c r="H27" s="276">
        <v>0</v>
      </c>
      <c r="I27" s="279">
        <v>80</v>
      </c>
      <c r="J27" s="279">
        <v>80</v>
      </c>
      <c r="K27" s="280">
        <f>((C27*(D27/100))+(E27*(F27/100)*G27)+((H27/100)*(I27/100)*(1-(J27/100))))</f>
        <v>0</v>
      </c>
      <c r="L27" s="280">
        <f>(LK27/1000)*PRG!D19</f>
        <v>0</v>
      </c>
    </row>
    <row r="28" spans="2:22" ht="16.5" x14ac:dyDescent="0.35">
      <c r="B28" s="658" t="s">
        <v>98</v>
      </c>
      <c r="C28" s="659" t="s">
        <v>99</v>
      </c>
      <c r="D28" s="660" t="s">
        <v>100</v>
      </c>
      <c r="E28" s="661"/>
      <c r="F28" s="661"/>
      <c r="G28" s="662"/>
      <c r="H28" s="52" t="s">
        <v>101</v>
      </c>
      <c r="I28" s="277"/>
      <c r="J28" s="277"/>
      <c r="K28" s="312"/>
      <c r="L28" s="312"/>
    </row>
    <row r="29" spans="2:22" ht="31" x14ac:dyDescent="0.35">
      <c r="B29" s="658"/>
      <c r="C29" s="659"/>
      <c r="D29" s="52" t="s">
        <v>102</v>
      </c>
      <c r="E29" s="52" t="s">
        <v>103</v>
      </c>
      <c r="F29" s="52" t="s">
        <v>104</v>
      </c>
      <c r="G29" s="52" t="s">
        <v>5</v>
      </c>
      <c r="H29" s="52" t="s">
        <v>105</v>
      </c>
      <c r="I29" s="277"/>
      <c r="J29" s="277"/>
      <c r="K29" s="312"/>
      <c r="L29" s="312"/>
    </row>
    <row r="30" spans="2:22" x14ac:dyDescent="0.35">
      <c r="B30" s="53" t="s">
        <v>131</v>
      </c>
      <c r="C30" s="278"/>
      <c r="D30" s="278"/>
      <c r="E30" s="278"/>
      <c r="F30" s="278"/>
      <c r="G30" s="278"/>
      <c r="H30" s="278"/>
      <c r="I30" s="30"/>
      <c r="J30" s="31"/>
    </row>
    <row r="31" spans="2:22" ht="16.5" x14ac:dyDescent="0.35">
      <c r="B31" s="37" t="s">
        <v>107</v>
      </c>
      <c r="C31" s="5">
        <f>Données!P14</f>
        <v>0</v>
      </c>
      <c r="D31" s="5">
        <f>C31*FE!C6</f>
        <v>0</v>
      </c>
      <c r="E31" s="5">
        <f>C31*FE!D6</f>
        <v>0</v>
      </c>
      <c r="F31" s="5">
        <f>C31*FE!E6</f>
        <v>0</v>
      </c>
      <c r="G31" s="5" t="s">
        <v>8</v>
      </c>
      <c r="H31" s="5">
        <f>((D31*PRG!B$4)+(E31*PRG!C$4)+(F31*PRG!D$4))/1000000</f>
        <v>0</v>
      </c>
      <c r="I31" s="30"/>
      <c r="J31" s="31"/>
    </row>
    <row r="32" spans="2:22" x14ac:dyDescent="0.35">
      <c r="B32" s="37" t="s">
        <v>124</v>
      </c>
      <c r="C32" s="5">
        <f>Données!P15</f>
        <v>0</v>
      </c>
      <c r="D32" s="5">
        <f>C32*FE!C9</f>
        <v>0</v>
      </c>
      <c r="E32" s="5">
        <f>C32*FE!D9</f>
        <v>0</v>
      </c>
      <c r="F32" s="5">
        <f>C32*FE!E9</f>
        <v>0</v>
      </c>
      <c r="G32" s="5" t="s">
        <v>8</v>
      </c>
      <c r="H32" s="5">
        <f>((D32*PRG!B$4)+(E32*PRG!C$4)+(F32*PRG!D$4))/1000000</f>
        <v>0</v>
      </c>
      <c r="I32" s="30"/>
      <c r="J32" s="31"/>
    </row>
    <row r="33" spans="2:12" x14ac:dyDescent="0.35">
      <c r="B33" s="37" t="s">
        <v>109</v>
      </c>
      <c r="C33" s="5">
        <f>Données!P16</f>
        <v>0</v>
      </c>
      <c r="D33" s="5">
        <f>C33*FE!C87</f>
        <v>0</v>
      </c>
      <c r="E33" s="5">
        <f>C33*FE!D87</f>
        <v>0</v>
      </c>
      <c r="F33" s="5">
        <f>C33*FE!E87</f>
        <v>0</v>
      </c>
      <c r="G33" s="5" t="s">
        <v>8</v>
      </c>
      <c r="H33" s="5">
        <f>((D33*PRG!B$4)+(E33*PRG!C$4)+(F33*PRG!D$4))/1000000</f>
        <v>0</v>
      </c>
      <c r="I33" s="30"/>
      <c r="J33" s="31"/>
    </row>
    <row r="34" spans="2:12" x14ac:dyDescent="0.35">
      <c r="B34" s="37" t="s">
        <v>125</v>
      </c>
      <c r="C34" s="5">
        <f>Données!P17</f>
        <v>0</v>
      </c>
      <c r="D34" s="5">
        <f>C34*FE!C10</f>
        <v>0</v>
      </c>
      <c r="E34" s="5">
        <f>C34*FE!D10</f>
        <v>0</v>
      </c>
      <c r="F34" s="5">
        <f>C34*FE!E10</f>
        <v>0</v>
      </c>
      <c r="G34" s="5" t="s">
        <v>8</v>
      </c>
      <c r="H34" s="5">
        <f>((D34*PRG!B$4)+(E34*PRG!C$4)+(F34*PRG!D$4))/1000000</f>
        <v>0</v>
      </c>
      <c r="I34" s="30"/>
      <c r="J34" s="31"/>
    </row>
    <row r="35" spans="2:12" ht="43.5" x14ac:dyDescent="0.35">
      <c r="B35" s="37"/>
      <c r="C35" s="292" t="s">
        <v>111</v>
      </c>
      <c r="D35" s="292" t="s">
        <v>126</v>
      </c>
      <c r="E35" s="292" t="s">
        <v>113</v>
      </c>
      <c r="F35" s="292" t="s">
        <v>127</v>
      </c>
      <c r="G35" s="292" t="s">
        <v>115</v>
      </c>
      <c r="H35" s="292" t="s">
        <v>116</v>
      </c>
      <c r="I35" s="293" t="s">
        <v>128</v>
      </c>
      <c r="J35" s="293" t="s">
        <v>132</v>
      </c>
      <c r="K35" s="292" t="s">
        <v>119</v>
      </c>
      <c r="L35" s="292" t="s">
        <v>130</v>
      </c>
    </row>
    <row r="36" spans="2:12" x14ac:dyDescent="0.35">
      <c r="B36" s="37" t="s">
        <v>14</v>
      </c>
      <c r="C36" s="5">
        <v>0</v>
      </c>
      <c r="D36" s="226">
        <v>1</v>
      </c>
      <c r="E36" s="226">
        <f>Données!P18</f>
        <v>0</v>
      </c>
      <c r="F36" s="226">
        <v>10</v>
      </c>
      <c r="G36" s="226">
        <v>0</v>
      </c>
      <c r="H36" s="226">
        <v>0</v>
      </c>
      <c r="I36" s="275">
        <v>80</v>
      </c>
      <c r="J36" s="275">
        <v>80</v>
      </c>
      <c r="K36" s="12">
        <f>((C36*(D36/100))+(E36*(F36/100)*G36)+(H36*(I36/100)*(1-(J36/100))))</f>
        <v>0</v>
      </c>
      <c r="L36" s="12">
        <f>(K36/1000)*PRG!D19</f>
        <v>0</v>
      </c>
    </row>
    <row r="37" spans="2:12" ht="16.5" x14ac:dyDescent="0.35">
      <c r="B37" s="658" t="s">
        <v>98</v>
      </c>
      <c r="C37" s="659" t="s">
        <v>99</v>
      </c>
      <c r="D37" s="660" t="s">
        <v>100</v>
      </c>
      <c r="E37" s="661"/>
      <c r="F37" s="661"/>
      <c r="G37" s="662"/>
      <c r="H37" s="52" t="s">
        <v>101</v>
      </c>
      <c r="I37" s="274"/>
      <c r="J37" s="274"/>
      <c r="K37" s="2"/>
      <c r="L37" s="2"/>
    </row>
    <row r="38" spans="2:12" ht="31" x14ac:dyDescent="0.35">
      <c r="B38" s="658"/>
      <c r="C38" s="659"/>
      <c r="D38" s="52" t="s">
        <v>102</v>
      </c>
      <c r="E38" s="52" t="s">
        <v>103</v>
      </c>
      <c r="F38" s="52" t="s">
        <v>104</v>
      </c>
      <c r="G38" s="52" t="s">
        <v>5</v>
      </c>
      <c r="H38" s="52" t="s">
        <v>105</v>
      </c>
      <c r="I38" s="274"/>
      <c r="J38" s="274"/>
      <c r="K38" s="2"/>
      <c r="L38" s="2"/>
    </row>
    <row r="39" spans="2:12" x14ac:dyDescent="0.35">
      <c r="B39" s="53" t="s">
        <v>133</v>
      </c>
      <c r="C39" s="278"/>
      <c r="D39" s="278"/>
      <c r="E39" s="278"/>
      <c r="F39" s="278"/>
      <c r="G39" s="278"/>
      <c r="H39" s="278"/>
      <c r="I39" s="30"/>
      <c r="J39" s="31"/>
    </row>
    <row r="40" spans="2:12" ht="16.5" x14ac:dyDescent="0.35">
      <c r="B40" s="37" t="s">
        <v>107</v>
      </c>
      <c r="C40" s="5">
        <f>Données!P19</f>
        <v>0</v>
      </c>
      <c r="D40" s="5">
        <f>C40*FE!C6</f>
        <v>0</v>
      </c>
      <c r="E40" s="5">
        <f>C40*FE!D6</f>
        <v>0</v>
      </c>
      <c r="F40" s="5">
        <f>C40*FE!E6</f>
        <v>0</v>
      </c>
      <c r="G40" s="5" t="s">
        <v>8</v>
      </c>
      <c r="H40" s="5">
        <f>((D40*PRG!B$4)+(E40*PRG!C$4)+(F40*PRG!D$4))/1000000</f>
        <v>0</v>
      </c>
      <c r="I40" s="30"/>
      <c r="J40" s="31"/>
    </row>
    <row r="41" spans="2:12" x14ac:dyDescent="0.35">
      <c r="B41" s="37" t="s">
        <v>124</v>
      </c>
      <c r="C41" s="5">
        <f>Données!P20</f>
        <v>0</v>
      </c>
      <c r="D41" s="5">
        <f>C41*FE!C9</f>
        <v>0</v>
      </c>
      <c r="E41" s="5">
        <f>C41*FE!D9</f>
        <v>0</v>
      </c>
      <c r="F41" s="5">
        <f>C41*FE!E9</f>
        <v>0</v>
      </c>
      <c r="G41" s="5" t="s">
        <v>8</v>
      </c>
      <c r="H41" s="5">
        <f>((D41*PRG!B$4)+(E41*PRG!C$4)+(F41*PRG!D$4))/1000000</f>
        <v>0</v>
      </c>
      <c r="I41" s="30"/>
      <c r="J41" s="31"/>
    </row>
    <row r="42" spans="2:12" x14ac:dyDescent="0.35">
      <c r="B42" s="37" t="s">
        <v>109</v>
      </c>
      <c r="C42" s="5">
        <f>Données!P21</f>
        <v>0</v>
      </c>
      <c r="D42" s="5">
        <f>C42*FE!C87</f>
        <v>0</v>
      </c>
      <c r="E42" s="5">
        <f>C42*FE!D87</f>
        <v>0</v>
      </c>
      <c r="F42" s="5">
        <f>C42*FE!E87</f>
        <v>0</v>
      </c>
      <c r="G42" s="5" t="s">
        <v>8</v>
      </c>
      <c r="H42" s="5">
        <f>((D42*PRG!B$4)+(E42*PRG!C$4)+(F42*PRG!D$4))/1000000</f>
        <v>0</v>
      </c>
      <c r="I42" s="30"/>
      <c r="J42" s="31"/>
    </row>
    <row r="43" spans="2:12" x14ac:dyDescent="0.35">
      <c r="B43" s="37" t="s">
        <v>125</v>
      </c>
      <c r="C43" s="5">
        <f>Données!P22</f>
        <v>0</v>
      </c>
      <c r="D43" s="5">
        <f>C43*FE!C10</f>
        <v>0</v>
      </c>
      <c r="E43" s="5">
        <f>C43*FE!D10</f>
        <v>0</v>
      </c>
      <c r="F43" s="5">
        <f>C43*FE!E10</f>
        <v>0</v>
      </c>
      <c r="G43" s="5" t="s">
        <v>8</v>
      </c>
      <c r="H43" s="5">
        <f>((D43*PRG!B$4)+(E43*PRG!C$4)+(F43*PRG!D$4))/1000000</f>
        <v>0</v>
      </c>
      <c r="I43" s="30"/>
      <c r="J43" s="31"/>
    </row>
    <row r="44" spans="2:12" ht="43.5" x14ac:dyDescent="0.35">
      <c r="B44" s="37"/>
      <c r="C44" s="292" t="s">
        <v>111</v>
      </c>
      <c r="D44" s="292" t="s">
        <v>126</v>
      </c>
      <c r="E44" s="292" t="s">
        <v>113</v>
      </c>
      <c r="F44" s="292" t="s">
        <v>127</v>
      </c>
      <c r="G44" s="292" t="s">
        <v>115</v>
      </c>
      <c r="H44" s="292" t="s">
        <v>116</v>
      </c>
      <c r="I44" s="293" t="s">
        <v>128</v>
      </c>
      <c r="J44" s="293" t="s">
        <v>129</v>
      </c>
      <c r="K44" s="292" t="s">
        <v>119</v>
      </c>
      <c r="L44" s="292" t="s">
        <v>130</v>
      </c>
    </row>
    <row r="45" spans="2:12" x14ac:dyDescent="0.35">
      <c r="B45" s="37" t="s">
        <v>14</v>
      </c>
      <c r="C45" s="281">
        <f>Données!P23</f>
        <v>0</v>
      </c>
      <c r="D45" s="280">
        <v>1</v>
      </c>
      <c r="E45" s="280">
        <f>Données!P23</f>
        <v>0</v>
      </c>
      <c r="F45" s="280">
        <v>10</v>
      </c>
      <c r="G45" s="280">
        <v>0</v>
      </c>
      <c r="H45" s="280">
        <v>0</v>
      </c>
      <c r="I45" s="282">
        <v>80</v>
      </c>
      <c r="J45" s="282">
        <v>80</v>
      </c>
      <c r="K45" s="281">
        <f>((C45*(D45/100))+(E45*(F45/100)*G45)+(H45*(I45/100)*(1-(J45/100))))</f>
        <v>0</v>
      </c>
      <c r="L45" s="281">
        <f>(K45/1000)*PRG!D19</f>
        <v>0</v>
      </c>
    </row>
    <row r="46" spans="2:12" ht="16.5" x14ac:dyDescent="0.35">
      <c r="B46" s="658" t="s">
        <v>98</v>
      </c>
      <c r="C46" s="659" t="s">
        <v>99</v>
      </c>
      <c r="D46" s="660" t="s">
        <v>100</v>
      </c>
      <c r="E46" s="661"/>
      <c r="F46" s="661"/>
      <c r="G46" s="662"/>
      <c r="H46" s="52" t="s">
        <v>101</v>
      </c>
      <c r="I46" s="313"/>
      <c r="J46" s="313"/>
      <c r="K46" s="314"/>
      <c r="L46" s="314"/>
    </row>
    <row r="47" spans="2:12" ht="31" x14ac:dyDescent="0.35">
      <c r="B47" s="658"/>
      <c r="C47" s="659"/>
      <c r="D47" s="52" t="s">
        <v>134</v>
      </c>
      <c r="E47" s="52" t="s">
        <v>103</v>
      </c>
      <c r="F47" s="52" t="s">
        <v>104</v>
      </c>
      <c r="G47" s="52" t="s">
        <v>5</v>
      </c>
      <c r="H47" s="52" t="s">
        <v>105</v>
      </c>
      <c r="I47" s="313"/>
      <c r="J47" s="313"/>
      <c r="K47" s="314"/>
      <c r="L47" s="314"/>
    </row>
    <row r="48" spans="2:12" x14ac:dyDescent="0.35">
      <c r="B48" s="53" t="s">
        <v>135</v>
      </c>
      <c r="C48" s="278"/>
      <c r="D48" s="278"/>
      <c r="E48" s="278"/>
      <c r="F48" s="278"/>
      <c r="G48" s="278"/>
      <c r="H48" s="278"/>
      <c r="I48" s="30"/>
      <c r="J48" s="31"/>
    </row>
    <row r="49" spans="2:12" ht="16.5" x14ac:dyDescent="0.35">
      <c r="B49" s="37" t="s">
        <v>107</v>
      </c>
      <c r="C49" s="5">
        <f>Données!P24</f>
        <v>0</v>
      </c>
      <c r="D49" s="5">
        <f>C49*FE!C6</f>
        <v>0</v>
      </c>
      <c r="E49" s="5">
        <f>C49*FE!D6</f>
        <v>0</v>
      </c>
      <c r="F49" s="5">
        <f>C49*FE!E6</f>
        <v>0</v>
      </c>
      <c r="G49" s="5" t="s">
        <v>8</v>
      </c>
      <c r="H49" s="5">
        <f>((D49*PRG!B$4)+(E49*PRG!C$4)+(F49*PRG!D$4))/1000000</f>
        <v>0</v>
      </c>
      <c r="I49" s="30"/>
      <c r="J49" s="31"/>
    </row>
    <row r="50" spans="2:12" x14ac:dyDescent="0.35">
      <c r="B50" s="37" t="s">
        <v>124</v>
      </c>
      <c r="C50" s="5">
        <f>Données!P25</f>
        <v>0</v>
      </c>
      <c r="D50" s="5">
        <f>C50*FE!C9</f>
        <v>0</v>
      </c>
      <c r="E50" s="5">
        <f>C50*FE!D9</f>
        <v>0</v>
      </c>
      <c r="F50" s="5">
        <f>C50*FE!E9</f>
        <v>0</v>
      </c>
      <c r="G50" s="5" t="s">
        <v>8</v>
      </c>
      <c r="H50" s="5">
        <f>((D50*PRG!B$4)+(E50*PRG!C$4)+(F50*PRG!D$4))/1000000</f>
        <v>0</v>
      </c>
      <c r="I50" s="30"/>
      <c r="J50" s="31"/>
    </row>
    <row r="51" spans="2:12" x14ac:dyDescent="0.35">
      <c r="B51" s="37" t="s">
        <v>109</v>
      </c>
      <c r="C51" s="5">
        <f>Données!P26</f>
        <v>0</v>
      </c>
      <c r="D51" s="5">
        <f>C51*FE!C87</f>
        <v>0</v>
      </c>
      <c r="E51" s="5">
        <f>C51*FE!D87</f>
        <v>0</v>
      </c>
      <c r="F51" s="5">
        <f>C51*FE!E87</f>
        <v>0</v>
      </c>
      <c r="G51" s="5" t="s">
        <v>8</v>
      </c>
      <c r="H51" s="5">
        <f>((D51*PRG!B$4)+(E51*PRG!C$4)+(F51*PRG!D$4))/1000000</f>
        <v>0</v>
      </c>
      <c r="I51" s="30"/>
      <c r="J51" s="31"/>
    </row>
    <row r="52" spans="2:12" x14ac:dyDescent="0.35">
      <c r="B52" s="37" t="s">
        <v>125</v>
      </c>
      <c r="C52" s="5">
        <f>Données!P27</f>
        <v>0</v>
      </c>
      <c r="D52" s="5">
        <f>C52*FE!C10</f>
        <v>0</v>
      </c>
      <c r="E52" s="5">
        <f>C52*FE!D10</f>
        <v>0</v>
      </c>
      <c r="F52" s="5">
        <f>C52*FE!E10</f>
        <v>0</v>
      </c>
      <c r="G52" s="5" t="s">
        <v>8</v>
      </c>
      <c r="H52" s="5">
        <f>((D52*PRG!B$4)+(E52*PRG!C$4)+(F52*PRG!D$4))/1000000</f>
        <v>0</v>
      </c>
      <c r="I52" s="30"/>
      <c r="J52" s="31"/>
    </row>
    <row r="53" spans="2:12" ht="43.5" x14ac:dyDescent="0.35">
      <c r="B53" s="37"/>
      <c r="C53" s="292" t="s">
        <v>111</v>
      </c>
      <c r="D53" s="292" t="s">
        <v>126</v>
      </c>
      <c r="E53" s="292" t="s">
        <v>113</v>
      </c>
      <c r="F53" s="292" t="s">
        <v>127</v>
      </c>
      <c r="G53" s="292" t="s">
        <v>115</v>
      </c>
      <c r="H53" s="292" t="s">
        <v>116</v>
      </c>
      <c r="I53" s="293" t="s">
        <v>128</v>
      </c>
      <c r="J53" s="293" t="s">
        <v>132</v>
      </c>
      <c r="K53" s="292" t="s">
        <v>119</v>
      </c>
      <c r="L53" s="292" t="s">
        <v>130</v>
      </c>
    </row>
    <row r="54" spans="2:12" x14ac:dyDescent="0.35">
      <c r="B54" s="37" t="s">
        <v>14</v>
      </c>
      <c r="C54" s="276">
        <f>Données!P28</f>
        <v>0</v>
      </c>
      <c r="D54" s="276">
        <v>1</v>
      </c>
      <c r="E54" s="276">
        <f>Données!P28</f>
        <v>0</v>
      </c>
      <c r="F54" s="276">
        <v>10</v>
      </c>
      <c r="G54" s="276">
        <v>0</v>
      </c>
      <c r="H54" s="276">
        <v>0</v>
      </c>
      <c r="I54" s="279">
        <v>80</v>
      </c>
      <c r="J54" s="279">
        <v>80</v>
      </c>
      <c r="K54" s="280">
        <f>((C45*(D45/100))+(E45*(F45/100)*G45)+(H45*(I45/100)*(1-(J45/100))))</f>
        <v>0</v>
      </c>
      <c r="L54" s="280">
        <f>(K54/1000)*PRG!D19</f>
        <v>0</v>
      </c>
    </row>
    <row r="55" spans="2:12" ht="16.5" x14ac:dyDescent="0.35">
      <c r="B55" s="658" t="s">
        <v>98</v>
      </c>
      <c r="C55" s="659" t="s">
        <v>99</v>
      </c>
      <c r="D55" s="660" t="s">
        <v>100</v>
      </c>
      <c r="E55" s="661"/>
      <c r="F55" s="661"/>
      <c r="G55" s="662"/>
      <c r="H55" s="52" t="s">
        <v>101</v>
      </c>
      <c r="I55" s="277"/>
      <c r="J55" s="277"/>
      <c r="K55" s="312"/>
      <c r="L55" s="312"/>
    </row>
    <row r="56" spans="2:12" ht="31" x14ac:dyDescent="0.35">
      <c r="B56" s="658"/>
      <c r="C56" s="659"/>
      <c r="D56" s="52" t="s">
        <v>134</v>
      </c>
      <c r="E56" s="52" t="s">
        <v>103</v>
      </c>
      <c r="F56" s="52" t="s">
        <v>104</v>
      </c>
      <c r="G56" s="52" t="s">
        <v>5</v>
      </c>
      <c r="H56" s="52" t="s">
        <v>105</v>
      </c>
      <c r="I56" s="277"/>
      <c r="J56" s="277"/>
      <c r="K56" s="312"/>
      <c r="L56" s="312"/>
    </row>
    <row r="57" spans="2:12" x14ac:dyDescent="0.35">
      <c r="B57" s="53" t="s">
        <v>136</v>
      </c>
      <c r="C57" s="278"/>
      <c r="D57" s="278"/>
      <c r="E57" s="278"/>
      <c r="F57" s="278"/>
      <c r="G57" s="278"/>
      <c r="H57" s="278"/>
      <c r="I57" s="30"/>
      <c r="J57" s="31"/>
    </row>
    <row r="58" spans="2:12" ht="16.5" x14ac:dyDescent="0.35">
      <c r="B58" s="37" t="s">
        <v>107</v>
      </c>
      <c r="C58" s="5">
        <f>Données!P29</f>
        <v>0</v>
      </c>
      <c r="D58" s="5">
        <f>C58*FE!C6</f>
        <v>0</v>
      </c>
      <c r="E58" s="5">
        <f>C58*FE!D6</f>
        <v>0</v>
      </c>
      <c r="F58" s="5">
        <f>C58*FE!E6</f>
        <v>0</v>
      </c>
      <c r="G58" s="5" t="s">
        <v>8</v>
      </c>
      <c r="H58" s="5">
        <f>((D58*PRG!B$4)+(E58*PRG!C$4)+(F58*PRG!D$4))/1000000</f>
        <v>0</v>
      </c>
      <c r="I58" s="30"/>
      <c r="J58" s="31"/>
    </row>
    <row r="59" spans="2:12" x14ac:dyDescent="0.35">
      <c r="B59" s="37" t="s">
        <v>124</v>
      </c>
      <c r="C59" s="5">
        <f>Données!P30</f>
        <v>0</v>
      </c>
      <c r="D59" s="5">
        <f>C59*FE!C9</f>
        <v>0</v>
      </c>
      <c r="E59" s="5">
        <f>C59*FE!D9</f>
        <v>0</v>
      </c>
      <c r="F59" s="5">
        <f>C59*FE!E9</f>
        <v>0</v>
      </c>
      <c r="G59" s="5" t="s">
        <v>8</v>
      </c>
      <c r="H59" s="5">
        <f>((D59*PRG!B$4)+(E59*PRG!C$4)+(F59*PRG!D$4))/1000000</f>
        <v>0</v>
      </c>
      <c r="I59" s="30"/>
      <c r="J59" s="31"/>
    </row>
    <row r="60" spans="2:12" x14ac:dyDescent="0.35">
      <c r="B60" s="37" t="s">
        <v>109</v>
      </c>
      <c r="C60" s="5">
        <f>Données!P31</f>
        <v>0</v>
      </c>
      <c r="D60" s="5">
        <f>C60*FE!C87</f>
        <v>0</v>
      </c>
      <c r="E60" s="5">
        <f>C60*FE!D87</f>
        <v>0</v>
      </c>
      <c r="F60" s="5">
        <f>C60*FE!E87</f>
        <v>0</v>
      </c>
      <c r="G60" s="5" t="s">
        <v>8</v>
      </c>
      <c r="H60" s="5">
        <f>((D60*PRG!B$4)+(E60*PRG!C$4)+(F60*PRG!D$4))/1000000</f>
        <v>0</v>
      </c>
      <c r="I60" s="30"/>
      <c r="J60" s="31"/>
    </row>
    <row r="61" spans="2:12" x14ac:dyDescent="0.35">
      <c r="B61" s="37" t="s">
        <v>125</v>
      </c>
      <c r="C61" s="5">
        <f>Données!P32</f>
        <v>0</v>
      </c>
      <c r="D61" s="5">
        <f>C61*FE!C10</f>
        <v>0</v>
      </c>
      <c r="E61" s="5">
        <f>C61*FE!D10</f>
        <v>0</v>
      </c>
      <c r="F61" s="5">
        <f>C61*FE!E10</f>
        <v>0</v>
      </c>
      <c r="G61" s="5" t="s">
        <v>8</v>
      </c>
      <c r="H61" s="5">
        <f>((D61*PRG!B$4)+(E61*PRG!C$4)+(F61*PRG!D$4))/1000000</f>
        <v>0</v>
      </c>
      <c r="I61" s="30"/>
      <c r="J61" s="31"/>
    </row>
    <row r="62" spans="2:12" ht="43.5" x14ac:dyDescent="0.35">
      <c r="B62" s="37"/>
      <c r="C62" s="292" t="s">
        <v>111</v>
      </c>
      <c r="D62" s="292" t="s">
        <v>137</v>
      </c>
      <c r="E62" s="292" t="s">
        <v>113</v>
      </c>
      <c r="F62" s="292" t="s">
        <v>127</v>
      </c>
      <c r="G62" s="292" t="s">
        <v>115</v>
      </c>
      <c r="H62" s="292" t="s">
        <v>116</v>
      </c>
      <c r="I62" s="293" t="s">
        <v>128</v>
      </c>
      <c r="J62" s="293" t="s">
        <v>132</v>
      </c>
      <c r="K62" s="292" t="s">
        <v>119</v>
      </c>
      <c r="L62" s="292" t="s">
        <v>130</v>
      </c>
    </row>
    <row r="63" spans="2:12" x14ac:dyDescent="0.35">
      <c r="B63" s="37" t="s">
        <v>14</v>
      </c>
      <c r="C63" s="280">
        <f>Données!P33</f>
        <v>0</v>
      </c>
      <c r="D63" s="280">
        <v>1</v>
      </c>
      <c r="E63" s="280">
        <f>Données!P33</f>
        <v>0</v>
      </c>
      <c r="F63" s="280">
        <v>10</v>
      </c>
      <c r="G63" s="280">
        <v>0</v>
      </c>
      <c r="H63" s="280">
        <v>0</v>
      </c>
      <c r="I63" s="283">
        <v>80</v>
      </c>
      <c r="J63" s="283">
        <v>80</v>
      </c>
      <c r="K63" s="280">
        <f>((C63*(D63/100))+(E63*(F63/100)*G63)+(H63*(I63/100)*(1-(J63/100))))</f>
        <v>0</v>
      </c>
      <c r="L63" s="280">
        <f>(K63/1000)*PRG!D19</f>
        <v>0</v>
      </c>
    </row>
    <row r="64" spans="2:12" ht="16.5" x14ac:dyDescent="0.35">
      <c r="B64" s="658" t="s">
        <v>98</v>
      </c>
      <c r="C64" s="659" t="s">
        <v>99</v>
      </c>
      <c r="D64" s="660" t="s">
        <v>100</v>
      </c>
      <c r="E64" s="661"/>
      <c r="F64" s="661"/>
      <c r="G64" s="662"/>
      <c r="H64" s="52" t="s">
        <v>101</v>
      </c>
      <c r="I64" s="315"/>
      <c r="J64" s="315"/>
      <c r="K64" s="312"/>
      <c r="L64" s="312"/>
    </row>
    <row r="65" spans="2:12" ht="31" x14ac:dyDescent="0.35">
      <c r="B65" s="658"/>
      <c r="C65" s="659"/>
      <c r="D65" s="52" t="s">
        <v>134</v>
      </c>
      <c r="E65" s="52" t="s">
        <v>103</v>
      </c>
      <c r="F65" s="52" t="s">
        <v>104</v>
      </c>
      <c r="G65" s="52" t="s">
        <v>5</v>
      </c>
      <c r="H65" s="52" t="s">
        <v>105</v>
      </c>
      <c r="I65" s="315"/>
      <c r="J65" s="315"/>
      <c r="K65" s="312"/>
      <c r="L65" s="312"/>
    </row>
    <row r="66" spans="2:12" x14ac:dyDescent="0.35">
      <c r="B66" s="53" t="s">
        <v>138</v>
      </c>
      <c r="C66" s="278"/>
      <c r="D66" s="278"/>
      <c r="E66" s="278"/>
      <c r="F66" s="278"/>
      <c r="G66" s="278"/>
      <c r="H66" s="278"/>
      <c r="I66" s="30"/>
      <c r="J66" s="31"/>
    </row>
    <row r="67" spans="2:12" ht="16.5" x14ac:dyDescent="0.35">
      <c r="B67" s="37" t="s">
        <v>107</v>
      </c>
      <c r="C67" s="5">
        <f>Données!P34</f>
        <v>0</v>
      </c>
      <c r="D67" s="5">
        <f>C67*FE!C6</f>
        <v>0</v>
      </c>
      <c r="E67" s="5">
        <f>C67*FE!D6</f>
        <v>0</v>
      </c>
      <c r="F67" s="5">
        <f>C67*FE!E6</f>
        <v>0</v>
      </c>
      <c r="G67" s="5" t="s">
        <v>8</v>
      </c>
      <c r="H67" s="5">
        <f>((D67*PRG!B$4)+(E67*PRG!C$4)+(F67*PRG!D$4))/1000000</f>
        <v>0</v>
      </c>
      <c r="I67" s="30"/>
      <c r="J67" s="31"/>
    </row>
    <row r="68" spans="2:12" x14ac:dyDescent="0.35">
      <c r="B68" s="37" t="s">
        <v>124</v>
      </c>
      <c r="C68" s="5">
        <f>Données!P35</f>
        <v>0</v>
      </c>
      <c r="D68" s="5">
        <f>C68*FE!C9</f>
        <v>0</v>
      </c>
      <c r="E68" s="5">
        <f>C68*FE!D9</f>
        <v>0</v>
      </c>
      <c r="F68" s="5">
        <f>C68*FE!E9</f>
        <v>0</v>
      </c>
      <c r="G68" s="5" t="s">
        <v>8</v>
      </c>
      <c r="H68" s="5">
        <f>((D68*PRG!B$4)+(E68*PRG!C$4)+(F68*PRG!D$4))/1000000</f>
        <v>0</v>
      </c>
      <c r="I68" s="30"/>
      <c r="J68" s="31"/>
    </row>
    <row r="69" spans="2:12" x14ac:dyDescent="0.35">
      <c r="B69" s="37" t="s">
        <v>109</v>
      </c>
      <c r="C69" s="5">
        <f>Données!P36</f>
        <v>0</v>
      </c>
      <c r="D69" s="5">
        <f>C69*FE!C87</f>
        <v>0</v>
      </c>
      <c r="E69" s="5">
        <f>C69*FE!D87</f>
        <v>0</v>
      </c>
      <c r="F69" s="5">
        <f>C69*FE!E87</f>
        <v>0</v>
      </c>
      <c r="G69" s="5" t="s">
        <v>8</v>
      </c>
      <c r="H69" s="5">
        <f>((D69*PRG!B$4)+(E69*PRG!C$4)+(F69*PRG!D$4))/1000000</f>
        <v>0</v>
      </c>
      <c r="I69" s="30"/>
      <c r="J69" s="31"/>
    </row>
    <row r="70" spans="2:12" x14ac:dyDescent="0.35">
      <c r="B70" s="37" t="s">
        <v>125</v>
      </c>
      <c r="C70" s="5">
        <f>Données!P37</f>
        <v>0</v>
      </c>
      <c r="D70" s="5">
        <f>C70*FE!C10</f>
        <v>0</v>
      </c>
      <c r="E70" s="5">
        <f>C70*FE!D10</f>
        <v>0</v>
      </c>
      <c r="F70" s="5">
        <f>C70*FE!E10</f>
        <v>0</v>
      </c>
      <c r="G70" s="5" t="s">
        <v>8</v>
      </c>
      <c r="H70" s="5">
        <f>((D70*PRG!B$4)+(E70*PRG!C$4)+(F70*PRG!D$4))/1000000</f>
        <v>0</v>
      </c>
      <c r="I70" s="30"/>
      <c r="J70" s="31"/>
    </row>
    <row r="71" spans="2:12" ht="43.5" x14ac:dyDescent="0.35">
      <c r="B71" s="37"/>
      <c r="C71" s="292" t="s">
        <v>111</v>
      </c>
      <c r="D71" s="292" t="s">
        <v>137</v>
      </c>
      <c r="E71" s="292" t="s">
        <v>113</v>
      </c>
      <c r="F71" s="292" t="s">
        <v>127</v>
      </c>
      <c r="G71" s="292" t="s">
        <v>115</v>
      </c>
      <c r="H71" s="292" t="s">
        <v>116</v>
      </c>
      <c r="I71" s="293" t="s">
        <v>128</v>
      </c>
      <c r="J71" s="293" t="s">
        <v>129</v>
      </c>
      <c r="K71" s="292" t="s">
        <v>119</v>
      </c>
      <c r="L71" s="292" t="s">
        <v>130</v>
      </c>
    </row>
    <row r="72" spans="2:12" x14ac:dyDescent="0.35">
      <c r="B72" s="37" t="s">
        <v>14</v>
      </c>
      <c r="C72" s="280">
        <f>Données!P38</f>
        <v>0</v>
      </c>
      <c r="D72" s="280">
        <v>1</v>
      </c>
      <c r="E72" s="280">
        <f>Données!P38</f>
        <v>0</v>
      </c>
      <c r="F72" s="280">
        <v>10</v>
      </c>
      <c r="G72" s="280">
        <v>0</v>
      </c>
      <c r="H72" s="280">
        <v>0</v>
      </c>
      <c r="I72" s="283">
        <v>80</v>
      </c>
      <c r="J72" s="283">
        <v>80</v>
      </c>
      <c r="K72" s="280">
        <f>((C72*(D72/100))+(E72*(F72/100)*G72)+(H72*(I72/100)*(1-(J72/100))))</f>
        <v>0</v>
      </c>
      <c r="L72" s="280">
        <f>(K72/1000)*PRG!D19</f>
        <v>0</v>
      </c>
    </row>
    <row r="73" spans="2:12" ht="16.5" x14ac:dyDescent="0.35">
      <c r="B73" s="658" t="s">
        <v>98</v>
      </c>
      <c r="C73" s="659" t="s">
        <v>99</v>
      </c>
      <c r="D73" s="660" t="s">
        <v>100</v>
      </c>
      <c r="E73" s="661"/>
      <c r="F73" s="661"/>
      <c r="G73" s="662"/>
      <c r="H73" s="52" t="s">
        <v>101</v>
      </c>
      <c r="I73" s="315"/>
      <c r="J73" s="315"/>
      <c r="K73" s="312"/>
      <c r="L73" s="312"/>
    </row>
    <row r="74" spans="2:12" ht="31" x14ac:dyDescent="0.35">
      <c r="B74" s="658"/>
      <c r="C74" s="659"/>
      <c r="D74" s="52" t="s">
        <v>134</v>
      </c>
      <c r="E74" s="52" t="s">
        <v>103</v>
      </c>
      <c r="F74" s="52" t="s">
        <v>104</v>
      </c>
      <c r="G74" s="52" t="s">
        <v>5</v>
      </c>
      <c r="H74" s="52" t="s">
        <v>105</v>
      </c>
      <c r="I74" s="315"/>
      <c r="J74" s="315"/>
      <c r="K74" s="312"/>
      <c r="L74" s="312"/>
    </row>
    <row r="75" spans="2:12" x14ac:dyDescent="0.35">
      <c r="B75" s="53" t="s">
        <v>139</v>
      </c>
      <c r="C75" s="278"/>
      <c r="D75" s="278"/>
      <c r="E75" s="278"/>
      <c r="F75" s="278"/>
      <c r="G75" s="278"/>
      <c r="H75" s="278"/>
      <c r="I75" s="30"/>
      <c r="J75" s="31"/>
    </row>
    <row r="76" spans="2:12" ht="16.5" x14ac:dyDescent="0.35">
      <c r="B76" s="37" t="s">
        <v>107</v>
      </c>
      <c r="C76" s="5">
        <f>Données!P39</f>
        <v>0</v>
      </c>
      <c r="D76" s="5">
        <f>C76*FE!C6</f>
        <v>0</v>
      </c>
      <c r="E76" s="5">
        <f>C76*FE!D6</f>
        <v>0</v>
      </c>
      <c r="F76" s="5">
        <f>C76*FE!E6</f>
        <v>0</v>
      </c>
      <c r="G76" s="5" t="s">
        <v>8</v>
      </c>
      <c r="H76" s="5">
        <f>((D76*PRG!B$4)+(E76*PRG!C$4)+(F76*PRG!D$4))/1000000</f>
        <v>0</v>
      </c>
      <c r="I76" s="30"/>
      <c r="J76" s="31"/>
    </row>
    <row r="77" spans="2:12" x14ac:dyDescent="0.35">
      <c r="B77" s="37" t="s">
        <v>124</v>
      </c>
      <c r="C77" s="5">
        <f>Données!P40</f>
        <v>0</v>
      </c>
      <c r="D77" s="5">
        <f>C77*FE!C9</f>
        <v>0</v>
      </c>
      <c r="E77" s="5">
        <f>C77*FE!D9</f>
        <v>0</v>
      </c>
      <c r="F77" s="5">
        <f>C77*FE!E9</f>
        <v>0</v>
      </c>
      <c r="G77" s="5" t="s">
        <v>8</v>
      </c>
      <c r="H77" s="5">
        <f>((D77*PRG!B$4)+(E77*PRG!C$4)+(F77*PRG!D$4))/1000000</f>
        <v>0</v>
      </c>
      <c r="I77" s="30"/>
      <c r="J77" s="31"/>
    </row>
    <row r="78" spans="2:12" x14ac:dyDescent="0.35">
      <c r="B78" s="37" t="s">
        <v>109</v>
      </c>
      <c r="C78" s="5">
        <f>Données!P41</f>
        <v>0</v>
      </c>
      <c r="D78" s="5">
        <f>C78*FE!C87</f>
        <v>0</v>
      </c>
      <c r="E78" s="5">
        <f>C78*FE!D87</f>
        <v>0</v>
      </c>
      <c r="F78" s="5">
        <f>C78*FE!E87</f>
        <v>0</v>
      </c>
      <c r="G78" s="5" t="s">
        <v>8</v>
      </c>
      <c r="H78" s="5">
        <f>((D78*PRG!B$4)+(E78*PRG!C$4)+(F78*PRG!D$4))/1000000</f>
        <v>0</v>
      </c>
      <c r="I78" s="30"/>
      <c r="J78" s="31"/>
    </row>
    <row r="79" spans="2:12" x14ac:dyDescent="0.35">
      <c r="B79" s="37" t="s">
        <v>125</v>
      </c>
      <c r="C79" s="5">
        <f>Données!P42</f>
        <v>0</v>
      </c>
      <c r="D79" s="5">
        <f>C79*FE!C10</f>
        <v>0</v>
      </c>
      <c r="E79" s="5">
        <f>C79*FE!D10</f>
        <v>0</v>
      </c>
      <c r="F79" s="5">
        <f>C79*FE!E10</f>
        <v>0</v>
      </c>
      <c r="G79" s="5" t="s">
        <v>8</v>
      </c>
      <c r="H79" s="5">
        <f>((D79*PRG!B$4)+(E79*PRG!C$4)+(F79*PRG!D$4))/1000000</f>
        <v>0</v>
      </c>
      <c r="I79" s="30"/>
      <c r="J79" s="31"/>
    </row>
    <row r="80" spans="2:12" ht="43.5" x14ac:dyDescent="0.35">
      <c r="B80" s="37"/>
      <c r="C80" s="292" t="s">
        <v>111</v>
      </c>
      <c r="D80" s="292" t="s">
        <v>126</v>
      </c>
      <c r="E80" s="292" t="s">
        <v>113</v>
      </c>
      <c r="F80" s="292" t="s">
        <v>127</v>
      </c>
      <c r="G80" s="292" t="s">
        <v>115</v>
      </c>
      <c r="H80" s="292" t="s">
        <v>116</v>
      </c>
      <c r="I80" s="293" t="s">
        <v>128</v>
      </c>
      <c r="J80" s="293" t="s">
        <v>129</v>
      </c>
      <c r="K80" s="292" t="s">
        <v>119</v>
      </c>
      <c r="L80" s="292" t="s">
        <v>130</v>
      </c>
    </row>
    <row r="81" spans="2:12" ht="15.75" customHeight="1" x14ac:dyDescent="0.35">
      <c r="B81" s="37" t="s">
        <v>14</v>
      </c>
      <c r="C81" s="276">
        <f>Données!P43</f>
        <v>0</v>
      </c>
      <c r="D81" s="276">
        <v>1</v>
      </c>
      <c r="E81" s="276">
        <f>Données!P43</f>
        <v>0</v>
      </c>
      <c r="F81" s="276">
        <v>10</v>
      </c>
      <c r="G81" s="276">
        <v>0</v>
      </c>
      <c r="H81" s="276">
        <v>0</v>
      </c>
      <c r="I81" s="279">
        <v>80</v>
      </c>
      <c r="J81" s="279">
        <v>80</v>
      </c>
      <c r="K81" s="280">
        <f>((C81*(D81/100))+(E81*(F81/100)*G81)+(H81*(I81/100)*(1-(J81/100))))</f>
        <v>0</v>
      </c>
      <c r="L81" s="280">
        <f>(K81/1000)*PRG!D19</f>
        <v>0</v>
      </c>
    </row>
    <row r="82" spans="2:12" ht="15.75" customHeight="1" x14ac:dyDescent="0.35">
      <c r="B82" s="658" t="s">
        <v>98</v>
      </c>
      <c r="C82" s="659" t="s">
        <v>99</v>
      </c>
      <c r="D82" s="660" t="s">
        <v>100</v>
      </c>
      <c r="E82" s="661"/>
      <c r="F82" s="661"/>
      <c r="G82" s="662"/>
      <c r="H82" s="52" t="s">
        <v>101</v>
      </c>
      <c r="I82" s="277"/>
      <c r="J82" s="277"/>
      <c r="K82" s="312"/>
      <c r="L82" s="312"/>
    </row>
    <row r="83" spans="2:12" ht="31" x14ac:dyDescent="0.35">
      <c r="B83" s="658"/>
      <c r="C83" s="659"/>
      <c r="D83" s="52" t="s">
        <v>134</v>
      </c>
      <c r="E83" s="52" t="s">
        <v>103</v>
      </c>
      <c r="F83" s="52" t="s">
        <v>104</v>
      </c>
      <c r="G83" s="52" t="s">
        <v>5</v>
      </c>
      <c r="H83" s="52" t="s">
        <v>105</v>
      </c>
      <c r="I83" s="277"/>
      <c r="J83" s="277"/>
      <c r="K83" s="312"/>
      <c r="L83" s="312"/>
    </row>
    <row r="84" spans="2:12" x14ac:dyDescent="0.35">
      <c r="B84" s="53" t="s">
        <v>140</v>
      </c>
      <c r="C84" s="278"/>
      <c r="D84" s="278"/>
      <c r="E84" s="278"/>
      <c r="F84" s="278"/>
      <c r="G84" s="278"/>
      <c r="H84" s="278"/>
      <c r="I84" s="30"/>
      <c r="J84" s="31"/>
    </row>
    <row r="85" spans="2:12" ht="16.5" x14ac:dyDescent="0.35">
      <c r="B85" s="37" t="s">
        <v>107</v>
      </c>
      <c r="C85" s="5">
        <f>Données!P44</f>
        <v>0</v>
      </c>
      <c r="D85" s="5">
        <f>C85*FE!C6</f>
        <v>0</v>
      </c>
      <c r="E85" s="5">
        <f>C85*FE!D6</f>
        <v>0</v>
      </c>
      <c r="F85" s="5">
        <f>C85*FE!E6</f>
        <v>0</v>
      </c>
      <c r="G85" s="5" t="s">
        <v>8</v>
      </c>
      <c r="H85" s="5">
        <f>((D85*PRG!B$4)+(E85*PRG!C$4)+(F85*PRG!D$4))/1000000</f>
        <v>0</v>
      </c>
      <c r="I85" s="30"/>
      <c r="J85" s="31"/>
    </row>
    <row r="86" spans="2:12" x14ac:dyDescent="0.35">
      <c r="B86" s="37" t="s">
        <v>124</v>
      </c>
      <c r="C86" s="5">
        <f>Données!P45</f>
        <v>0</v>
      </c>
      <c r="D86" s="5">
        <f>C86*FE!C9</f>
        <v>0</v>
      </c>
      <c r="E86" s="5">
        <f>C86*FE!D9</f>
        <v>0</v>
      </c>
      <c r="F86" s="5">
        <f>C86*FE!E9</f>
        <v>0</v>
      </c>
      <c r="G86" s="5" t="s">
        <v>8</v>
      </c>
      <c r="H86" s="5">
        <f>((D86*PRG!B$4)+(E86*PRG!C$4)+(F86*PRG!D$4))/1000000</f>
        <v>0</v>
      </c>
      <c r="I86" s="30"/>
      <c r="J86" s="31"/>
    </row>
    <row r="87" spans="2:12" x14ac:dyDescent="0.35">
      <c r="B87" s="37" t="s">
        <v>109</v>
      </c>
      <c r="C87" s="5">
        <f>Données!P46</f>
        <v>0</v>
      </c>
      <c r="D87" s="5">
        <f>C87*FE!C87</f>
        <v>0</v>
      </c>
      <c r="E87" s="5">
        <f>C87*FE!D87</f>
        <v>0</v>
      </c>
      <c r="F87" s="5">
        <f>C87*FE!E87</f>
        <v>0</v>
      </c>
      <c r="G87" s="5" t="s">
        <v>8</v>
      </c>
      <c r="H87" s="5">
        <f>((D87*PRG!B$4)+(E87*PRG!C$4)+(F87*PRG!D$4))/1000000</f>
        <v>0</v>
      </c>
      <c r="I87" s="30"/>
      <c r="J87" s="31"/>
    </row>
    <row r="88" spans="2:12" x14ac:dyDescent="0.35">
      <c r="B88" s="37" t="s">
        <v>125</v>
      </c>
      <c r="C88" s="5">
        <f>Données!P47</f>
        <v>0</v>
      </c>
      <c r="D88" s="5">
        <f>C88*FE!C10</f>
        <v>0</v>
      </c>
      <c r="E88" s="5">
        <f>C88*FE!D10</f>
        <v>0</v>
      </c>
      <c r="F88" s="5">
        <f>C88*FE!E10</f>
        <v>0</v>
      </c>
      <c r="G88" s="5" t="s">
        <v>8</v>
      </c>
      <c r="H88" s="5">
        <f>((D88*PRG!B$4)+(E88*PRG!C$4)+(F88*PRG!D$4))/1000000</f>
        <v>0</v>
      </c>
      <c r="I88" s="30"/>
      <c r="J88" s="31"/>
    </row>
    <row r="89" spans="2:12" ht="43.5" x14ac:dyDescent="0.35">
      <c r="B89" s="37"/>
      <c r="C89" s="292" t="s">
        <v>111</v>
      </c>
      <c r="D89" s="292" t="s">
        <v>126</v>
      </c>
      <c r="E89" s="292" t="s">
        <v>113</v>
      </c>
      <c r="F89" s="292" t="s">
        <v>127</v>
      </c>
      <c r="G89" s="292" t="s">
        <v>115</v>
      </c>
      <c r="H89" s="292" t="s">
        <v>116</v>
      </c>
      <c r="I89" s="293" t="s">
        <v>128</v>
      </c>
      <c r="J89" s="293" t="s">
        <v>141</v>
      </c>
      <c r="K89" s="292" t="s">
        <v>119</v>
      </c>
      <c r="L89" s="292" t="s">
        <v>142</v>
      </c>
    </row>
    <row r="90" spans="2:12" x14ac:dyDescent="0.35">
      <c r="B90" s="37" t="s">
        <v>14</v>
      </c>
      <c r="C90" s="280">
        <f>Données!P48</f>
        <v>0</v>
      </c>
      <c r="D90" s="280">
        <v>1</v>
      </c>
      <c r="E90" s="280">
        <f>Données!P48</f>
        <v>0</v>
      </c>
      <c r="F90" s="280">
        <v>10</v>
      </c>
      <c r="G90" s="280">
        <v>0</v>
      </c>
      <c r="H90" s="280">
        <v>0</v>
      </c>
      <c r="I90" s="283">
        <v>80</v>
      </c>
      <c r="J90" s="283">
        <v>80</v>
      </c>
      <c r="K90" s="280">
        <f>((C90*(D90/100))+(E90*(F90/100)*G90)+(H90*(I90/100)*(1-(J90/100))))</f>
        <v>0</v>
      </c>
      <c r="L90" s="280">
        <f>K90*PRG!D19</f>
        <v>0</v>
      </c>
    </row>
    <row r="91" spans="2:12" ht="16.5" x14ac:dyDescent="0.35">
      <c r="B91" s="658" t="s">
        <v>98</v>
      </c>
      <c r="C91" s="659" t="s">
        <v>99</v>
      </c>
      <c r="D91" s="660" t="s">
        <v>100</v>
      </c>
      <c r="E91" s="661"/>
      <c r="F91" s="661"/>
      <c r="G91" s="662"/>
      <c r="H91" s="52" t="s">
        <v>101</v>
      </c>
      <c r="I91" s="315"/>
      <c r="J91" s="315"/>
      <c r="K91" s="312"/>
      <c r="L91" s="312"/>
    </row>
    <row r="92" spans="2:12" ht="31" x14ac:dyDescent="0.35">
      <c r="B92" s="658"/>
      <c r="C92" s="659"/>
      <c r="D92" s="52" t="s">
        <v>134</v>
      </c>
      <c r="E92" s="52" t="s">
        <v>103</v>
      </c>
      <c r="F92" s="52" t="s">
        <v>104</v>
      </c>
      <c r="G92" s="52" t="s">
        <v>5</v>
      </c>
      <c r="H92" s="52" t="s">
        <v>105</v>
      </c>
      <c r="I92" s="315"/>
      <c r="J92" s="315"/>
      <c r="K92" s="312"/>
      <c r="L92" s="312"/>
    </row>
    <row r="93" spans="2:12" x14ac:dyDescent="0.35">
      <c r="B93" s="53" t="s">
        <v>143</v>
      </c>
      <c r="C93" s="278"/>
      <c r="D93" s="278"/>
      <c r="E93" s="278"/>
      <c r="F93" s="278"/>
      <c r="G93" s="278"/>
      <c r="H93" s="278"/>
      <c r="I93" s="30"/>
      <c r="J93" s="31"/>
    </row>
    <row r="94" spans="2:12" ht="16.5" x14ac:dyDescent="0.35">
      <c r="B94" s="37" t="s">
        <v>107</v>
      </c>
      <c r="C94" s="5">
        <f>Données!P49</f>
        <v>0</v>
      </c>
      <c r="D94" s="5">
        <f>C94*FE!C6</f>
        <v>0</v>
      </c>
      <c r="E94" s="5">
        <f>C94*FE!D6</f>
        <v>0</v>
      </c>
      <c r="F94" s="5">
        <f>C94*FE!E6</f>
        <v>0</v>
      </c>
      <c r="G94" s="5" t="s">
        <v>8</v>
      </c>
      <c r="H94" s="5">
        <f>((D94*PRG!B$4)+(E94*PRG!C$4)+(F94*PRG!D$4))/1000000</f>
        <v>0</v>
      </c>
      <c r="I94" s="30"/>
      <c r="J94" s="31"/>
    </row>
    <row r="95" spans="2:12" x14ac:dyDescent="0.35">
      <c r="B95" s="37" t="s">
        <v>124</v>
      </c>
      <c r="C95" s="5">
        <f>Données!P50</f>
        <v>0</v>
      </c>
      <c r="D95" s="5">
        <f>C95*FE!C9</f>
        <v>0</v>
      </c>
      <c r="E95" s="5">
        <f>C95*FE!D9</f>
        <v>0</v>
      </c>
      <c r="F95" s="5">
        <f>C95*FE!E9</f>
        <v>0</v>
      </c>
      <c r="G95" s="5" t="s">
        <v>8</v>
      </c>
      <c r="H95" s="5">
        <f>((D95*PRG!B$4)+(E95*PRG!C$4)+(F95*PRG!D$4))/1000000</f>
        <v>0</v>
      </c>
      <c r="I95" s="30"/>
      <c r="J95" s="31"/>
    </row>
    <row r="96" spans="2:12" x14ac:dyDescent="0.35">
      <c r="B96" s="37" t="s">
        <v>109</v>
      </c>
      <c r="C96" s="5">
        <f>Données!P51</f>
        <v>0</v>
      </c>
      <c r="D96" s="5">
        <f>C96*FE!C87</f>
        <v>0</v>
      </c>
      <c r="E96" s="5">
        <f>C96*FE!D87</f>
        <v>0</v>
      </c>
      <c r="F96" s="5">
        <f>C96*FE!E87</f>
        <v>0</v>
      </c>
      <c r="G96" s="5" t="s">
        <v>8</v>
      </c>
      <c r="H96" s="5">
        <f>((D96*PRG!B$4)+(E96*PRG!C$4)+(F96*PRG!D$4))/1000000</f>
        <v>0</v>
      </c>
      <c r="I96" s="30"/>
      <c r="J96" s="31"/>
    </row>
    <row r="97" spans="2:13" x14ac:dyDescent="0.35">
      <c r="B97" s="37" t="s">
        <v>125</v>
      </c>
      <c r="C97" s="5">
        <f>Données!P52</f>
        <v>0</v>
      </c>
      <c r="D97" s="5">
        <f>C97*FE!C10</f>
        <v>0</v>
      </c>
      <c r="E97" s="5">
        <f>C97*FE!D10</f>
        <v>0</v>
      </c>
      <c r="F97" s="5">
        <f>C97*FE!E10</f>
        <v>0</v>
      </c>
      <c r="G97" s="5" t="s">
        <v>8</v>
      </c>
      <c r="H97" s="5">
        <f>((D97*PRG!B$4)+(E97*PRG!C$4)+(F97*PRG!D$4))/1000000</f>
        <v>0</v>
      </c>
      <c r="I97" s="30"/>
      <c r="J97" s="31"/>
    </row>
    <row r="98" spans="2:13" ht="43.5" x14ac:dyDescent="0.35">
      <c r="B98" s="37"/>
      <c r="C98" s="292" t="s">
        <v>111</v>
      </c>
      <c r="D98" s="292" t="s">
        <v>126</v>
      </c>
      <c r="E98" s="292" t="s">
        <v>113</v>
      </c>
      <c r="F98" s="292" t="s">
        <v>127</v>
      </c>
      <c r="G98" s="292" t="s">
        <v>115</v>
      </c>
      <c r="H98" s="292" t="s">
        <v>116</v>
      </c>
      <c r="I98" s="293" t="s">
        <v>128</v>
      </c>
      <c r="J98" s="293" t="s">
        <v>129</v>
      </c>
      <c r="K98" s="292" t="s">
        <v>119</v>
      </c>
      <c r="L98" s="292" t="s">
        <v>130</v>
      </c>
    </row>
    <row r="99" spans="2:13" x14ac:dyDescent="0.35">
      <c r="B99" s="37" t="s">
        <v>14</v>
      </c>
      <c r="C99" s="276">
        <f>Données!P53</f>
        <v>0</v>
      </c>
      <c r="D99" s="276">
        <v>1</v>
      </c>
      <c r="E99" s="276">
        <f>Données!P53</f>
        <v>0</v>
      </c>
      <c r="F99" s="276">
        <v>10</v>
      </c>
      <c r="G99" s="276">
        <v>0</v>
      </c>
      <c r="H99" s="276">
        <v>0</v>
      </c>
      <c r="I99" s="279">
        <v>80</v>
      </c>
      <c r="J99" s="279">
        <v>80</v>
      </c>
      <c r="K99" s="276">
        <f>((C99*(D99/100))+(E99*(F99/100)*G99)+(H99*(I99/100)*(1-(J99/100))))</f>
        <v>0</v>
      </c>
      <c r="L99" s="276">
        <f>(K99/1000)*PRG!D19</f>
        <v>0</v>
      </c>
    </row>
    <row r="100" spans="2:13" ht="16.5" x14ac:dyDescent="0.35">
      <c r="B100" s="658" t="s">
        <v>98</v>
      </c>
      <c r="C100" s="659" t="s">
        <v>99</v>
      </c>
      <c r="D100" s="660" t="s">
        <v>100</v>
      </c>
      <c r="E100" s="661"/>
      <c r="F100" s="661"/>
      <c r="G100" s="662"/>
      <c r="H100" s="52" t="s">
        <v>101</v>
      </c>
      <c r="I100" s="277"/>
      <c r="J100" s="277"/>
      <c r="K100" s="291"/>
      <c r="L100" s="291"/>
    </row>
    <row r="101" spans="2:13" ht="31" x14ac:dyDescent="0.35">
      <c r="B101" s="658"/>
      <c r="C101" s="659"/>
      <c r="D101" s="52" t="s">
        <v>134</v>
      </c>
      <c r="E101" s="52" t="s">
        <v>103</v>
      </c>
      <c r="F101" s="52" t="s">
        <v>104</v>
      </c>
      <c r="G101" s="52" t="s">
        <v>5</v>
      </c>
      <c r="H101" s="52" t="s">
        <v>105</v>
      </c>
      <c r="I101" s="277"/>
      <c r="J101" s="277"/>
      <c r="K101" s="291"/>
      <c r="L101" s="291"/>
    </row>
    <row r="102" spans="2:13" x14ac:dyDescent="0.35">
      <c r="B102" s="53" t="s">
        <v>144</v>
      </c>
      <c r="C102" s="278"/>
      <c r="D102" s="278"/>
      <c r="E102" s="278"/>
      <c r="F102" s="278"/>
      <c r="G102" s="278"/>
      <c r="H102" s="278"/>
      <c r="I102" s="30"/>
      <c r="J102" s="31"/>
    </row>
    <row r="103" spans="2:13" ht="16.5" x14ac:dyDescent="0.35">
      <c r="B103" s="37" t="s">
        <v>107</v>
      </c>
      <c r="C103" s="5">
        <f>Données!P54</f>
        <v>0</v>
      </c>
      <c r="D103" s="5">
        <f>C103*FE!C6</f>
        <v>0</v>
      </c>
      <c r="E103" s="5">
        <f>C103*FE!D6</f>
        <v>0</v>
      </c>
      <c r="F103" s="5">
        <f>C103*FE!E6</f>
        <v>0</v>
      </c>
      <c r="G103" s="5" t="s">
        <v>8</v>
      </c>
      <c r="H103" s="5">
        <f>((D103*PRG!B$4)+(E103*PRG!C$4)+(F103*PRG!D$4))/1000000</f>
        <v>0</v>
      </c>
      <c r="I103" s="30"/>
      <c r="J103" s="31"/>
    </row>
    <row r="104" spans="2:13" x14ac:dyDescent="0.35">
      <c r="B104" s="37" t="s">
        <v>124</v>
      </c>
      <c r="C104" s="5">
        <f>Données!P55</f>
        <v>0</v>
      </c>
      <c r="D104" s="5">
        <f>C104*FE!C9</f>
        <v>0</v>
      </c>
      <c r="E104" s="5">
        <f>C104*FE!D9</f>
        <v>0</v>
      </c>
      <c r="F104" s="5">
        <f>C104*FE!E9</f>
        <v>0</v>
      </c>
      <c r="G104" s="5" t="s">
        <v>8</v>
      </c>
      <c r="H104" s="5">
        <f>((D104*PRG!B$4)+(E104*PRG!C$4)+(F104*PRG!D$4))/1000000</f>
        <v>0</v>
      </c>
      <c r="I104" s="30"/>
      <c r="J104" s="31"/>
    </row>
    <row r="105" spans="2:13" x14ac:dyDescent="0.35">
      <c r="B105" s="37" t="s">
        <v>109</v>
      </c>
      <c r="C105" s="5">
        <f>Données!P56</f>
        <v>0</v>
      </c>
      <c r="D105" s="5">
        <f>C105*FE!C87</f>
        <v>0</v>
      </c>
      <c r="E105" s="5">
        <f>C105*FE!D87</f>
        <v>0</v>
      </c>
      <c r="F105" s="5">
        <f>C105*FE!E87</f>
        <v>0</v>
      </c>
      <c r="G105" s="5" t="s">
        <v>8</v>
      </c>
      <c r="H105" s="5">
        <f>((D105*PRG!B$4)+(E105*PRG!C$4)+(F105*PRG!D$4))/1000000</f>
        <v>0</v>
      </c>
      <c r="I105" s="30"/>
      <c r="J105" s="31"/>
      <c r="M105" s="3"/>
    </row>
    <row r="106" spans="2:13" x14ac:dyDescent="0.35">
      <c r="B106" s="37" t="s">
        <v>125</v>
      </c>
      <c r="C106" s="5">
        <f>Données!P57</f>
        <v>0</v>
      </c>
      <c r="D106" s="5">
        <f>C106*FE!C10</f>
        <v>0</v>
      </c>
      <c r="E106" s="5">
        <f>C106*FE!D10</f>
        <v>0</v>
      </c>
      <c r="F106" s="5">
        <f>C106*FE!E10</f>
        <v>0</v>
      </c>
      <c r="G106" s="5" t="s">
        <v>8</v>
      </c>
      <c r="H106" s="5">
        <f>((D106*PRG!B$4)+(E106*PRG!C$4)+(F106*PRG!D$4))/1000000</f>
        <v>0</v>
      </c>
      <c r="I106" s="30"/>
      <c r="J106" s="31"/>
    </row>
    <row r="107" spans="2:13" ht="43.5" x14ac:dyDescent="0.35">
      <c r="B107" s="37"/>
      <c r="C107" s="292" t="s">
        <v>111</v>
      </c>
      <c r="D107" s="292" t="s">
        <v>137</v>
      </c>
      <c r="E107" s="292" t="s">
        <v>113</v>
      </c>
      <c r="F107" s="292" t="s">
        <v>127</v>
      </c>
      <c r="G107" s="292" t="s">
        <v>115</v>
      </c>
      <c r="H107" s="292" t="s">
        <v>116</v>
      </c>
      <c r="I107" s="293" t="s">
        <v>128</v>
      </c>
      <c r="J107" s="293" t="s">
        <v>129</v>
      </c>
      <c r="K107" s="292" t="s">
        <v>119</v>
      </c>
      <c r="L107" s="292" t="s">
        <v>130</v>
      </c>
    </row>
    <row r="108" spans="2:13" x14ac:dyDescent="0.35">
      <c r="B108" s="37" t="s">
        <v>14</v>
      </c>
      <c r="C108" s="280">
        <f>Données!P58</f>
        <v>0</v>
      </c>
      <c r="D108" s="280">
        <v>1</v>
      </c>
      <c r="E108" s="280">
        <f>Données!P58</f>
        <v>0</v>
      </c>
      <c r="F108" s="280">
        <v>10</v>
      </c>
      <c r="G108" s="280">
        <v>0</v>
      </c>
      <c r="H108" s="280">
        <v>0</v>
      </c>
      <c r="I108" s="283">
        <v>80</v>
      </c>
      <c r="J108" s="283">
        <v>80</v>
      </c>
      <c r="K108" s="280">
        <f>((C108*(D108/100))+(E108*(F108/100)*G108)+(H108*(I108/100)*(1-(J108/100))))</f>
        <v>0</v>
      </c>
      <c r="L108" s="280">
        <f>(K108/1000)*PRG!D19</f>
        <v>0</v>
      </c>
    </row>
    <row r="109" spans="2:13" ht="16.5" x14ac:dyDescent="0.35">
      <c r="B109" s="658" t="s">
        <v>98</v>
      </c>
      <c r="C109" s="659" t="s">
        <v>99</v>
      </c>
      <c r="D109" s="660" t="s">
        <v>100</v>
      </c>
      <c r="E109" s="661"/>
      <c r="F109" s="661"/>
      <c r="G109" s="662"/>
      <c r="H109" s="52" t="s">
        <v>101</v>
      </c>
      <c r="I109" s="315"/>
      <c r="J109" s="315"/>
      <c r="K109" s="312"/>
      <c r="L109" s="312"/>
    </row>
    <row r="110" spans="2:13" ht="31" x14ac:dyDescent="0.35">
      <c r="B110" s="658"/>
      <c r="C110" s="659"/>
      <c r="D110" s="52" t="s">
        <v>134</v>
      </c>
      <c r="E110" s="52" t="s">
        <v>103</v>
      </c>
      <c r="F110" s="52" t="s">
        <v>104</v>
      </c>
      <c r="G110" s="52" t="s">
        <v>5</v>
      </c>
      <c r="H110" s="52" t="s">
        <v>105</v>
      </c>
      <c r="I110" s="315"/>
      <c r="J110" s="315"/>
      <c r="K110" s="312"/>
      <c r="L110" s="312"/>
    </row>
    <row r="111" spans="2:13" x14ac:dyDescent="0.35">
      <c r="B111" s="53" t="s">
        <v>145</v>
      </c>
      <c r="C111" s="278"/>
      <c r="D111" s="278"/>
      <c r="E111" s="278"/>
      <c r="F111" s="278"/>
      <c r="G111" s="278"/>
      <c r="H111" s="278"/>
      <c r="I111" s="30"/>
      <c r="J111" s="31"/>
    </row>
    <row r="112" spans="2:13" ht="16.5" x14ac:dyDescent="0.35">
      <c r="B112" s="37" t="s">
        <v>107</v>
      </c>
      <c r="C112" s="5">
        <f>Données!P59</f>
        <v>0</v>
      </c>
      <c r="D112" s="5">
        <f>C112*FE!C6</f>
        <v>0</v>
      </c>
      <c r="E112" s="5">
        <f>C112*FE!D6</f>
        <v>0</v>
      </c>
      <c r="F112" s="5">
        <f>C112*FE!E6</f>
        <v>0</v>
      </c>
      <c r="G112" s="5" t="s">
        <v>8</v>
      </c>
      <c r="H112" s="5">
        <f>((D112*PRG!B$4)+(E112*PRG!C$4)+(F112*PRG!D$4))/1000000</f>
        <v>0</v>
      </c>
      <c r="I112" s="30"/>
      <c r="J112" s="31"/>
    </row>
    <row r="113" spans="2:12" x14ac:dyDescent="0.35">
      <c r="B113" s="37" t="s">
        <v>124</v>
      </c>
      <c r="C113" s="5">
        <f>Données!P60</f>
        <v>0</v>
      </c>
      <c r="D113" s="5">
        <f>C113*FE!C9</f>
        <v>0</v>
      </c>
      <c r="E113" s="5">
        <f>C113*FE!D9</f>
        <v>0</v>
      </c>
      <c r="F113" s="5">
        <f>C113*FE!E9</f>
        <v>0</v>
      </c>
      <c r="G113" s="5" t="s">
        <v>8</v>
      </c>
      <c r="H113" s="5">
        <f>((D113*PRG!B$4)+(E113*PRG!C$4)+(F113*PRG!D$4))/1000000</f>
        <v>0</v>
      </c>
      <c r="I113" s="30"/>
      <c r="J113" s="31"/>
    </row>
    <row r="114" spans="2:12" x14ac:dyDescent="0.35">
      <c r="B114" s="37" t="s">
        <v>109</v>
      </c>
      <c r="C114" s="5">
        <f>Données!P61</f>
        <v>0</v>
      </c>
      <c r="D114" s="5">
        <f>C114*FE!C87</f>
        <v>0</v>
      </c>
      <c r="E114" s="5">
        <f>C114*FE!D87</f>
        <v>0</v>
      </c>
      <c r="F114" s="5">
        <f>C114*FE!E87</f>
        <v>0</v>
      </c>
      <c r="G114" s="5" t="s">
        <v>8</v>
      </c>
      <c r="H114" s="5">
        <f>((D114*PRG!B$4)+(E114*PRG!C$4)+(F114*PRG!D$4))/1000000</f>
        <v>0</v>
      </c>
      <c r="I114" s="30"/>
      <c r="J114" s="31"/>
    </row>
    <row r="115" spans="2:12" x14ac:dyDescent="0.35">
      <c r="B115" s="37" t="s">
        <v>125</v>
      </c>
      <c r="C115" s="5">
        <f>Données!P62</f>
        <v>0</v>
      </c>
      <c r="D115" s="5">
        <f>C115*FE!C10</f>
        <v>0</v>
      </c>
      <c r="E115" s="5">
        <f>C115*FE!D10</f>
        <v>0</v>
      </c>
      <c r="F115" s="5">
        <f>C115*FE!E10</f>
        <v>0</v>
      </c>
      <c r="G115" s="5" t="s">
        <v>8</v>
      </c>
      <c r="H115" s="5">
        <f>((D115*PRG!B$4)+(E115*PRG!C$4)+(F115*PRG!D$4))/1000000</f>
        <v>0</v>
      </c>
      <c r="I115" s="30"/>
      <c r="J115" s="31"/>
    </row>
    <row r="116" spans="2:12" ht="43.5" x14ac:dyDescent="0.35">
      <c r="B116" s="37"/>
      <c r="C116" s="292" t="s">
        <v>111</v>
      </c>
      <c r="D116" s="292" t="s">
        <v>137</v>
      </c>
      <c r="E116" s="292" t="s">
        <v>113</v>
      </c>
      <c r="F116" s="292" t="s">
        <v>127</v>
      </c>
      <c r="G116" s="292" t="s">
        <v>115</v>
      </c>
      <c r="H116" s="292" t="s">
        <v>116</v>
      </c>
      <c r="I116" s="293" t="s">
        <v>128</v>
      </c>
      <c r="J116" s="293" t="s">
        <v>129</v>
      </c>
      <c r="K116" s="292" t="s">
        <v>119</v>
      </c>
      <c r="L116" s="292" t="s">
        <v>130</v>
      </c>
    </row>
    <row r="117" spans="2:12" x14ac:dyDescent="0.35">
      <c r="B117" s="37" t="s">
        <v>14</v>
      </c>
      <c r="C117" s="226">
        <f>Données!P63</f>
        <v>0</v>
      </c>
      <c r="D117" s="226">
        <v>1</v>
      </c>
      <c r="E117" s="226">
        <f>Données!P63</f>
        <v>0</v>
      </c>
      <c r="F117" s="226">
        <v>10</v>
      </c>
      <c r="G117" s="226">
        <v>0</v>
      </c>
      <c r="H117" s="226">
        <v>0</v>
      </c>
      <c r="I117" s="279">
        <v>80</v>
      </c>
      <c r="J117" s="279">
        <v>80</v>
      </c>
      <c r="K117" s="266">
        <f>((C117*(D117/100))+(E117*(F117/100)*G117)+(H117*(I117/100)*(1-(J117/100))))</f>
        <v>0</v>
      </c>
      <c r="L117" s="266">
        <f>(K117/1000)*PRG!D19</f>
        <v>0</v>
      </c>
    </row>
    <row r="118" spans="2:12" ht="16.5" x14ac:dyDescent="0.35">
      <c r="B118" s="658" t="s">
        <v>98</v>
      </c>
      <c r="C118" s="659" t="s">
        <v>99</v>
      </c>
      <c r="D118" s="660" t="s">
        <v>100</v>
      </c>
      <c r="E118" s="661"/>
      <c r="F118" s="661"/>
      <c r="G118" s="662"/>
      <c r="H118" s="52" t="s">
        <v>101</v>
      </c>
      <c r="I118" s="277"/>
      <c r="J118" s="277"/>
      <c r="K118" s="316"/>
      <c r="L118" s="316"/>
    </row>
    <row r="119" spans="2:12" ht="31" x14ac:dyDescent="0.35">
      <c r="B119" s="658"/>
      <c r="C119" s="659"/>
      <c r="D119" s="52" t="s">
        <v>134</v>
      </c>
      <c r="E119" s="52" t="s">
        <v>103</v>
      </c>
      <c r="F119" s="52" t="s">
        <v>104</v>
      </c>
      <c r="G119" s="52" t="s">
        <v>5</v>
      </c>
      <c r="H119" s="52" t="s">
        <v>105</v>
      </c>
      <c r="I119" s="277"/>
      <c r="J119" s="277"/>
      <c r="K119" s="316"/>
      <c r="L119" s="316"/>
    </row>
    <row r="120" spans="2:12" x14ac:dyDescent="0.35">
      <c r="B120" s="53" t="s">
        <v>146</v>
      </c>
      <c r="C120" s="278"/>
      <c r="D120" s="278"/>
      <c r="E120" s="278"/>
      <c r="F120" s="278"/>
      <c r="G120" s="278"/>
      <c r="H120" s="278"/>
      <c r="I120" s="30"/>
      <c r="J120" s="31"/>
    </row>
    <row r="121" spans="2:12" ht="16.5" x14ac:dyDescent="0.35">
      <c r="B121" s="37" t="s">
        <v>107</v>
      </c>
      <c r="C121" s="5">
        <f>Données!P64</f>
        <v>0</v>
      </c>
      <c r="D121" s="5">
        <f>C121*FE!C6</f>
        <v>0</v>
      </c>
      <c r="E121" s="5">
        <f>C121*FE!D6</f>
        <v>0</v>
      </c>
      <c r="F121" s="5">
        <f>C121*FE!E6</f>
        <v>0</v>
      </c>
      <c r="G121" s="5" t="s">
        <v>8</v>
      </c>
      <c r="H121" s="5">
        <f>((D121*PRG!B$4)+(E121*PRG!C$4)+(F121*PRG!D$4))/1000000</f>
        <v>0</v>
      </c>
      <c r="I121" s="30"/>
      <c r="J121" s="31"/>
    </row>
    <row r="122" spans="2:12" x14ac:dyDescent="0.35">
      <c r="B122" s="37" t="s">
        <v>124</v>
      </c>
      <c r="C122" s="5">
        <f>Données!P65</f>
        <v>0</v>
      </c>
      <c r="D122" s="5">
        <f>C122*FE!C9</f>
        <v>0</v>
      </c>
      <c r="E122" s="5">
        <f>C122*FE!D9</f>
        <v>0</v>
      </c>
      <c r="F122" s="5">
        <f>C122*FE!E9</f>
        <v>0</v>
      </c>
      <c r="G122" s="5" t="s">
        <v>8</v>
      </c>
      <c r="H122" s="5">
        <f>((D122*PRG!B$4)+(E122*PRG!C$4)+(F122*PRG!D$4))/1000000</f>
        <v>0</v>
      </c>
      <c r="I122" s="30"/>
      <c r="J122" s="31"/>
    </row>
    <row r="123" spans="2:12" x14ac:dyDescent="0.35">
      <c r="B123" s="37" t="s">
        <v>109</v>
      </c>
      <c r="C123" s="5">
        <f>Données!P66</f>
        <v>0</v>
      </c>
      <c r="D123" s="5">
        <f>C123*FE!C87</f>
        <v>0</v>
      </c>
      <c r="E123" s="5">
        <f>C123*FE!D87</f>
        <v>0</v>
      </c>
      <c r="F123" s="5">
        <f>C123*FE!E87</f>
        <v>0</v>
      </c>
      <c r="G123" s="5" t="s">
        <v>8</v>
      </c>
      <c r="H123" s="5">
        <f>((D123*PRG!B$4)+(E123*PRG!C$4)+(F123*PRG!D$4))/1000000</f>
        <v>0</v>
      </c>
      <c r="I123" s="30"/>
      <c r="J123" s="31"/>
    </row>
    <row r="124" spans="2:12" x14ac:dyDescent="0.35">
      <c r="B124" s="37" t="s">
        <v>125</v>
      </c>
      <c r="C124" s="5">
        <f>Données!P67</f>
        <v>0</v>
      </c>
      <c r="D124" s="5">
        <f>C124*FE!C10</f>
        <v>0</v>
      </c>
      <c r="E124" s="5">
        <f>C124*FE!D10</f>
        <v>0</v>
      </c>
      <c r="F124" s="5">
        <f>C124*FE!E10</f>
        <v>0</v>
      </c>
      <c r="G124" s="5" t="s">
        <v>8</v>
      </c>
      <c r="H124" s="5">
        <f>((D124*PRG!B$4)+(E124*PRG!C$4)+(F124*PRG!D$4))/1000000</f>
        <v>0</v>
      </c>
      <c r="I124" s="30"/>
      <c r="J124" s="31"/>
    </row>
    <row r="125" spans="2:12" ht="43.5" x14ac:dyDescent="0.35">
      <c r="B125" s="37"/>
      <c r="C125" s="292" t="s">
        <v>111</v>
      </c>
      <c r="D125" s="292" t="s">
        <v>126</v>
      </c>
      <c r="E125" s="292" t="s">
        <v>113</v>
      </c>
      <c r="F125" s="292" t="s">
        <v>127</v>
      </c>
      <c r="G125" s="292" t="s">
        <v>115</v>
      </c>
      <c r="H125" s="292" t="s">
        <v>116</v>
      </c>
      <c r="I125" s="293" t="s">
        <v>128</v>
      </c>
      <c r="J125" s="293" t="s">
        <v>129</v>
      </c>
      <c r="K125" s="292" t="s">
        <v>119</v>
      </c>
      <c r="L125" s="292" t="s">
        <v>130</v>
      </c>
    </row>
    <row r="126" spans="2:12" x14ac:dyDescent="0.35">
      <c r="B126" s="37" t="s">
        <v>14</v>
      </c>
      <c r="C126" s="276">
        <f>Données!P68</f>
        <v>0</v>
      </c>
      <c r="D126" s="276">
        <v>1</v>
      </c>
      <c r="E126" s="276">
        <f>Données!P68</f>
        <v>0</v>
      </c>
      <c r="F126" s="276">
        <v>10</v>
      </c>
      <c r="G126" s="276">
        <v>0</v>
      </c>
      <c r="H126" s="276">
        <v>0</v>
      </c>
      <c r="I126" s="279">
        <v>80</v>
      </c>
      <c r="J126" s="279">
        <v>80</v>
      </c>
      <c r="K126" s="280">
        <f>((C126*(D126/100))+(E126*(F126/100)*G126)+(H126*(I126/100)*(1-(J126/100))))</f>
        <v>0</v>
      </c>
      <c r="L126" s="280">
        <f>(K126/1000)*PRG!D19</f>
        <v>0</v>
      </c>
    </row>
    <row r="127" spans="2:12" ht="16.5" x14ac:dyDescent="0.35">
      <c r="B127" s="658" t="s">
        <v>98</v>
      </c>
      <c r="C127" s="659" t="s">
        <v>99</v>
      </c>
      <c r="D127" s="660" t="s">
        <v>100</v>
      </c>
      <c r="E127" s="661"/>
      <c r="F127" s="661"/>
      <c r="G127" s="662"/>
      <c r="H127" s="52" t="s">
        <v>101</v>
      </c>
      <c r="I127" s="277"/>
      <c r="J127" s="277"/>
      <c r="K127" s="312"/>
      <c r="L127" s="312"/>
    </row>
    <row r="128" spans="2:12" ht="31" x14ac:dyDescent="0.35">
      <c r="B128" s="658"/>
      <c r="C128" s="659"/>
      <c r="D128" s="52" t="s">
        <v>134</v>
      </c>
      <c r="E128" s="52" t="s">
        <v>103</v>
      </c>
      <c r="F128" s="52" t="s">
        <v>104</v>
      </c>
      <c r="G128" s="52" t="s">
        <v>5</v>
      </c>
      <c r="H128" s="52" t="s">
        <v>105</v>
      </c>
      <c r="I128" s="277"/>
      <c r="J128" s="277"/>
      <c r="K128" s="312"/>
      <c r="L128" s="312"/>
    </row>
    <row r="129" spans="2:12" x14ac:dyDescent="0.35">
      <c r="B129" s="53" t="s">
        <v>147</v>
      </c>
      <c r="C129" s="278"/>
      <c r="D129" s="278"/>
      <c r="E129" s="278"/>
      <c r="F129" s="278"/>
      <c r="G129" s="278"/>
      <c r="H129" s="278"/>
      <c r="I129" s="30"/>
      <c r="J129" s="31"/>
    </row>
    <row r="130" spans="2:12" ht="16.5" x14ac:dyDescent="0.35">
      <c r="B130" s="37" t="s">
        <v>107</v>
      </c>
      <c r="C130" s="5">
        <f>Données!P69</f>
        <v>0</v>
      </c>
      <c r="D130" s="5">
        <f>C130*FE!C6</f>
        <v>0</v>
      </c>
      <c r="E130" s="5">
        <f>C130*FE!D6</f>
        <v>0</v>
      </c>
      <c r="F130" s="5">
        <f>C130*FE!E6</f>
        <v>0</v>
      </c>
      <c r="G130" s="5" t="s">
        <v>8</v>
      </c>
      <c r="H130" s="5">
        <f>((D130*PRG!B$4)+(E130*PRG!C$4)+(F130*PRG!D$4))/1000000</f>
        <v>0</v>
      </c>
      <c r="I130" s="30"/>
      <c r="J130" s="31"/>
    </row>
    <row r="131" spans="2:12" x14ac:dyDescent="0.35">
      <c r="B131" s="37" t="s">
        <v>124</v>
      </c>
      <c r="C131" s="5">
        <f>Données!P70</f>
        <v>0</v>
      </c>
      <c r="D131" s="5">
        <f>C131*FE!C9</f>
        <v>0</v>
      </c>
      <c r="E131" s="5">
        <f>C131*FE!D9</f>
        <v>0</v>
      </c>
      <c r="F131" s="5">
        <f>C131*FE!E9</f>
        <v>0</v>
      </c>
      <c r="G131" s="5" t="s">
        <v>8</v>
      </c>
      <c r="H131" s="5">
        <f>((D131*PRG!B$4)+(E131*PRG!C$4)+(F131*PRG!D$4))/1000000</f>
        <v>0</v>
      </c>
      <c r="I131" s="30"/>
      <c r="J131" s="31"/>
    </row>
    <row r="132" spans="2:12" x14ac:dyDescent="0.35">
      <c r="B132" s="37" t="s">
        <v>109</v>
      </c>
      <c r="C132" s="5">
        <f>Données!P71</f>
        <v>0</v>
      </c>
      <c r="D132" s="5">
        <f>C132*FE!C87</f>
        <v>0</v>
      </c>
      <c r="E132" s="5">
        <f>C132*FE!D87</f>
        <v>0</v>
      </c>
      <c r="F132" s="5">
        <f>C132*FE!E87</f>
        <v>0</v>
      </c>
      <c r="G132" s="5" t="s">
        <v>8</v>
      </c>
      <c r="H132" s="5">
        <f>((D132*PRG!B$4)+(E132*PRG!C$4)+(F132*PRG!D$4))/1000000</f>
        <v>0</v>
      </c>
      <c r="I132" s="30"/>
      <c r="J132" s="31"/>
    </row>
    <row r="133" spans="2:12" x14ac:dyDescent="0.35">
      <c r="B133" s="37" t="s">
        <v>125</v>
      </c>
      <c r="C133" s="5">
        <f>Données!P72</f>
        <v>0</v>
      </c>
      <c r="D133" s="5">
        <f>C133*FE!C10</f>
        <v>0</v>
      </c>
      <c r="E133" s="5">
        <f>C133*FE!D10</f>
        <v>0</v>
      </c>
      <c r="F133" s="5">
        <f>C133*FE!E10</f>
        <v>0</v>
      </c>
      <c r="G133" s="5" t="s">
        <v>8</v>
      </c>
      <c r="H133" s="5">
        <f>((D133*PRG!B$4)+(E133*PRG!C$4)+(F133*PRG!D$4))/1000000</f>
        <v>0</v>
      </c>
      <c r="I133" s="30"/>
      <c r="J133" s="31"/>
    </row>
    <row r="134" spans="2:12" ht="43.5" x14ac:dyDescent="0.35">
      <c r="B134" s="37"/>
      <c r="C134" s="292" t="s">
        <v>111</v>
      </c>
      <c r="D134" s="292" t="s">
        <v>126</v>
      </c>
      <c r="E134" s="292" t="s">
        <v>113</v>
      </c>
      <c r="F134" s="292" t="s">
        <v>127</v>
      </c>
      <c r="G134" s="292" t="s">
        <v>115</v>
      </c>
      <c r="H134" s="292" t="s">
        <v>116</v>
      </c>
      <c r="I134" s="293" t="s">
        <v>128</v>
      </c>
      <c r="J134" s="293" t="s">
        <v>132</v>
      </c>
      <c r="K134" s="292" t="s">
        <v>119</v>
      </c>
      <c r="L134" s="292" t="s">
        <v>130</v>
      </c>
    </row>
    <row r="135" spans="2:12" x14ac:dyDescent="0.35">
      <c r="B135" s="37" t="s">
        <v>14</v>
      </c>
      <c r="C135" s="276">
        <f>Données!P73</f>
        <v>0</v>
      </c>
      <c r="D135" s="276">
        <v>1</v>
      </c>
      <c r="E135" s="276">
        <f>Données!P73</f>
        <v>0</v>
      </c>
      <c r="F135" s="276">
        <v>10</v>
      </c>
      <c r="G135" s="276">
        <v>0</v>
      </c>
      <c r="H135" s="276">
        <v>0</v>
      </c>
      <c r="I135" s="279">
        <v>80</v>
      </c>
      <c r="J135" s="279">
        <v>80</v>
      </c>
      <c r="K135" s="280">
        <f>((C135*(D135/100))+(E135*(F135/100)*G135)+(H135*(I135/100)*(1-(J135/100))))</f>
        <v>0</v>
      </c>
      <c r="L135" s="280">
        <f>(K135/1000)*PRG!D19</f>
        <v>0</v>
      </c>
    </row>
    <row r="136" spans="2:12" ht="16.5" x14ac:dyDescent="0.35">
      <c r="B136" s="658" t="s">
        <v>98</v>
      </c>
      <c r="C136" s="659" t="s">
        <v>99</v>
      </c>
      <c r="D136" s="660" t="s">
        <v>100</v>
      </c>
      <c r="E136" s="661"/>
      <c r="F136" s="661"/>
      <c r="G136" s="662"/>
      <c r="H136" s="52" t="s">
        <v>101</v>
      </c>
      <c r="I136" s="277"/>
      <c r="J136" s="277"/>
      <c r="K136" s="312"/>
      <c r="L136" s="312"/>
    </row>
    <row r="137" spans="2:12" ht="31" x14ac:dyDescent="0.35">
      <c r="B137" s="658"/>
      <c r="C137" s="659"/>
      <c r="D137" s="52" t="s">
        <v>134</v>
      </c>
      <c r="E137" s="52" t="s">
        <v>103</v>
      </c>
      <c r="F137" s="52" t="s">
        <v>104</v>
      </c>
      <c r="G137" s="52" t="s">
        <v>5</v>
      </c>
      <c r="H137" s="52" t="s">
        <v>105</v>
      </c>
      <c r="I137" s="277"/>
      <c r="J137" s="277"/>
      <c r="K137" s="312"/>
      <c r="L137" s="312"/>
    </row>
    <row r="138" spans="2:12" x14ac:dyDescent="0.35">
      <c r="B138" s="53" t="s">
        <v>148</v>
      </c>
      <c r="C138" s="278"/>
      <c r="D138" s="278"/>
      <c r="E138" s="278"/>
      <c r="F138" s="278"/>
      <c r="G138" s="278"/>
      <c r="H138" s="278"/>
      <c r="I138" s="30"/>
      <c r="J138" s="31"/>
    </row>
    <row r="139" spans="2:12" ht="16.5" x14ac:dyDescent="0.35">
      <c r="B139" s="37" t="s">
        <v>107</v>
      </c>
      <c r="C139" s="5">
        <f>Données!P74</f>
        <v>0</v>
      </c>
      <c r="D139" s="5">
        <f>C139*FE!C6</f>
        <v>0</v>
      </c>
      <c r="E139" s="5">
        <f>C139*FE!D6</f>
        <v>0</v>
      </c>
      <c r="F139" s="5">
        <f>C139*FE!E6</f>
        <v>0</v>
      </c>
      <c r="G139" s="5" t="s">
        <v>8</v>
      </c>
      <c r="H139" s="5">
        <f>((D139*PRG!B$4)+(E139*PRG!C$4)+(F139*PRG!D$4))/1000000</f>
        <v>0</v>
      </c>
      <c r="I139" s="30"/>
      <c r="J139" s="31"/>
    </row>
    <row r="140" spans="2:12" x14ac:dyDescent="0.35">
      <c r="B140" s="37" t="s">
        <v>124</v>
      </c>
      <c r="C140" s="5">
        <f>Données!P75</f>
        <v>0</v>
      </c>
      <c r="D140" s="5">
        <f>C140*FE!C9</f>
        <v>0</v>
      </c>
      <c r="E140" s="5">
        <f>C140*FE!D9</f>
        <v>0</v>
      </c>
      <c r="F140" s="5">
        <f>C140*FE!E9</f>
        <v>0</v>
      </c>
      <c r="G140" s="5" t="s">
        <v>8</v>
      </c>
      <c r="H140" s="5">
        <f>((D140*PRG!B$4)+(E140*PRG!C$4)+(F140*PRG!D$4))/1000000</f>
        <v>0</v>
      </c>
      <c r="I140" s="30"/>
      <c r="J140" s="31"/>
    </row>
    <row r="141" spans="2:12" x14ac:dyDescent="0.35">
      <c r="B141" s="37" t="s">
        <v>109</v>
      </c>
      <c r="C141" s="5">
        <f>Données!P76</f>
        <v>0</v>
      </c>
      <c r="D141" s="5">
        <f>C141*FE!C87</f>
        <v>0</v>
      </c>
      <c r="E141" s="5">
        <f>C141*FE!D87</f>
        <v>0</v>
      </c>
      <c r="F141" s="5">
        <f>C141*FE!E87</f>
        <v>0</v>
      </c>
      <c r="G141" s="5" t="s">
        <v>8</v>
      </c>
      <c r="H141" s="5">
        <f>((D141*PRG!B$4)+(E141*PRG!C$4)+(F141*PRG!D$4))/1000000</f>
        <v>0</v>
      </c>
      <c r="I141" s="30"/>
      <c r="J141" s="31"/>
    </row>
    <row r="142" spans="2:12" x14ac:dyDescent="0.35">
      <c r="B142" s="37" t="s">
        <v>125</v>
      </c>
      <c r="C142" s="5">
        <f>Données!P77</f>
        <v>0</v>
      </c>
      <c r="D142" s="5">
        <f>C142*FE!C10</f>
        <v>0</v>
      </c>
      <c r="E142" s="5">
        <f>C142*FE!D10</f>
        <v>0</v>
      </c>
      <c r="F142" s="5">
        <f>C142*FE!E10</f>
        <v>0</v>
      </c>
      <c r="G142" s="5" t="s">
        <v>8</v>
      </c>
      <c r="H142" s="5">
        <f>((D142*PRG!B$4)+(E142*PRG!C$4)+(F142*PRG!D$4))/1000000</f>
        <v>0</v>
      </c>
      <c r="I142" s="30"/>
      <c r="J142" s="31"/>
    </row>
    <row r="143" spans="2:12" ht="43.5" x14ac:dyDescent="0.35">
      <c r="B143" s="37"/>
      <c r="C143" s="292" t="s">
        <v>111</v>
      </c>
      <c r="D143" s="292" t="s">
        <v>126</v>
      </c>
      <c r="E143" s="292" t="s">
        <v>113</v>
      </c>
      <c r="F143" s="292" t="s">
        <v>127</v>
      </c>
      <c r="G143" s="292" t="s">
        <v>115</v>
      </c>
      <c r="H143" s="292" t="s">
        <v>116</v>
      </c>
      <c r="I143" s="293" t="s">
        <v>128</v>
      </c>
      <c r="J143" s="293" t="s">
        <v>129</v>
      </c>
      <c r="K143" s="292" t="s">
        <v>119</v>
      </c>
      <c r="L143" s="292" t="s">
        <v>149</v>
      </c>
    </row>
    <row r="144" spans="2:12" x14ac:dyDescent="0.35">
      <c r="B144" s="37" t="s">
        <v>14</v>
      </c>
      <c r="C144" s="276">
        <f>Données!P78</f>
        <v>0</v>
      </c>
      <c r="D144" s="276">
        <v>1</v>
      </c>
      <c r="E144" s="276">
        <f>Données!P78</f>
        <v>0</v>
      </c>
      <c r="F144" s="276">
        <v>10</v>
      </c>
      <c r="G144" s="276">
        <v>0</v>
      </c>
      <c r="H144" s="276">
        <v>0</v>
      </c>
      <c r="I144" s="279">
        <v>80</v>
      </c>
      <c r="J144" s="279">
        <v>80</v>
      </c>
      <c r="K144" s="280">
        <f>((C144*(D144/100))+(E144*(F144/100)*G144)+(H144*(I144/100)*(1-(J144/100))))</f>
        <v>0</v>
      </c>
      <c r="L144" s="280">
        <f>(K144/1000)*PRG!D19</f>
        <v>0</v>
      </c>
    </row>
    <row r="145" spans="2:12" ht="16.5" x14ac:dyDescent="0.35">
      <c r="B145" s="658" t="s">
        <v>98</v>
      </c>
      <c r="C145" s="659" t="s">
        <v>99</v>
      </c>
      <c r="D145" s="660" t="s">
        <v>100</v>
      </c>
      <c r="E145" s="661"/>
      <c r="F145" s="661"/>
      <c r="G145" s="662"/>
      <c r="H145" s="52" t="s">
        <v>101</v>
      </c>
      <c r="I145" s="277"/>
      <c r="J145" s="277"/>
      <c r="K145" s="312"/>
      <c r="L145" s="312"/>
    </row>
    <row r="146" spans="2:12" ht="31" x14ac:dyDescent="0.35">
      <c r="B146" s="658"/>
      <c r="C146" s="659"/>
      <c r="D146" s="52" t="s">
        <v>134</v>
      </c>
      <c r="E146" s="52" t="s">
        <v>103</v>
      </c>
      <c r="F146" s="52" t="s">
        <v>104</v>
      </c>
      <c r="G146" s="52" t="s">
        <v>5</v>
      </c>
      <c r="H146" s="52" t="s">
        <v>105</v>
      </c>
      <c r="I146" s="277"/>
      <c r="J146" s="277"/>
      <c r="K146" s="312"/>
      <c r="L146" s="312"/>
    </row>
    <row r="147" spans="2:12" x14ac:dyDescent="0.35">
      <c r="B147" s="53" t="s">
        <v>150</v>
      </c>
      <c r="C147" s="278"/>
      <c r="D147" s="278"/>
      <c r="E147" s="278"/>
      <c r="F147" s="278"/>
      <c r="G147" s="278"/>
      <c r="H147" s="278"/>
      <c r="I147" s="30"/>
      <c r="J147" s="31"/>
    </row>
    <row r="148" spans="2:12" ht="16.5" x14ac:dyDescent="0.35">
      <c r="B148" s="37" t="s">
        <v>107</v>
      </c>
      <c r="C148" s="5">
        <f>Données!P79</f>
        <v>0</v>
      </c>
      <c r="D148" s="5">
        <f>C148*FE!C6</f>
        <v>0</v>
      </c>
      <c r="E148" s="5">
        <f>C148*FE!D6</f>
        <v>0</v>
      </c>
      <c r="F148" s="5">
        <f>C148*FE!E6</f>
        <v>0</v>
      </c>
      <c r="G148" s="5" t="s">
        <v>8</v>
      </c>
      <c r="H148" s="5">
        <f>((D148*PRG!B$4)+(E148*PRG!C$4)+(F148*PRG!D$4))/1000000</f>
        <v>0</v>
      </c>
      <c r="I148" s="30"/>
      <c r="J148" s="31"/>
    </row>
    <row r="149" spans="2:12" x14ac:dyDescent="0.35">
      <c r="B149" s="37" t="s">
        <v>124</v>
      </c>
      <c r="C149" s="5">
        <f>Données!P80</f>
        <v>0</v>
      </c>
      <c r="D149" s="5">
        <f>C149*FE!C9</f>
        <v>0</v>
      </c>
      <c r="E149" s="5">
        <f>C149*FE!D9</f>
        <v>0</v>
      </c>
      <c r="F149" s="5">
        <f>C149*FE!E9</f>
        <v>0</v>
      </c>
      <c r="G149" s="5" t="s">
        <v>8</v>
      </c>
      <c r="H149" s="5">
        <f>((D149*PRG!B$4)+(E149*PRG!C$4)+(F149*PRG!D$4))/1000000</f>
        <v>0</v>
      </c>
      <c r="I149" s="30"/>
      <c r="J149" s="31"/>
    </row>
    <row r="150" spans="2:12" x14ac:dyDescent="0.35">
      <c r="B150" s="37" t="s">
        <v>109</v>
      </c>
      <c r="C150" s="5">
        <f>Données!P81</f>
        <v>0</v>
      </c>
      <c r="D150" s="5">
        <f>C150*FE!C87</f>
        <v>0</v>
      </c>
      <c r="E150" s="5">
        <f>C150*FE!D87</f>
        <v>0</v>
      </c>
      <c r="F150" s="5">
        <f>C150*FE!E87</f>
        <v>0</v>
      </c>
      <c r="G150" s="5" t="s">
        <v>8</v>
      </c>
      <c r="H150" s="5">
        <f>((D150*PRG!B$4)+(E150*PRG!C$4)+(F150*PRG!D$4))/1000000</f>
        <v>0</v>
      </c>
      <c r="I150" s="30"/>
      <c r="J150" s="31"/>
    </row>
    <row r="151" spans="2:12" x14ac:dyDescent="0.35">
      <c r="B151" s="37" t="s">
        <v>125</v>
      </c>
      <c r="C151" s="5">
        <f>Données!P82</f>
        <v>0</v>
      </c>
      <c r="D151" s="5">
        <f>C151*FE!C10</f>
        <v>0</v>
      </c>
      <c r="E151" s="5">
        <f>C151*FE!D10</f>
        <v>0</v>
      </c>
      <c r="F151" s="5">
        <f>C151*FE!E10</f>
        <v>0</v>
      </c>
      <c r="G151" s="5" t="s">
        <v>8</v>
      </c>
      <c r="H151" s="5">
        <f>((D151*PRG!B$4)+(E151*PRG!C$4)+(F151*PRG!D$4))/1000000</f>
        <v>0</v>
      </c>
      <c r="I151" s="30"/>
      <c r="J151" s="31"/>
    </row>
    <row r="152" spans="2:12" ht="43.5" x14ac:dyDescent="0.35">
      <c r="B152" s="37"/>
      <c r="C152" s="292" t="s">
        <v>111</v>
      </c>
      <c r="D152" s="292" t="s">
        <v>126</v>
      </c>
      <c r="E152" s="292" t="s">
        <v>113</v>
      </c>
      <c r="F152" s="292" t="s">
        <v>127</v>
      </c>
      <c r="G152" s="292" t="s">
        <v>115</v>
      </c>
      <c r="H152" s="292" t="s">
        <v>116</v>
      </c>
      <c r="I152" s="293" t="s">
        <v>128</v>
      </c>
      <c r="J152" s="293" t="s">
        <v>129</v>
      </c>
      <c r="K152" s="292" t="s">
        <v>119</v>
      </c>
      <c r="L152" s="292" t="s">
        <v>130</v>
      </c>
    </row>
    <row r="153" spans="2:12" x14ac:dyDescent="0.35">
      <c r="B153" s="37" t="s">
        <v>14</v>
      </c>
      <c r="C153" s="280">
        <f>Données!P83</f>
        <v>0</v>
      </c>
      <c r="D153" s="280">
        <v>1</v>
      </c>
      <c r="E153" s="280">
        <f>Données!P83</f>
        <v>0</v>
      </c>
      <c r="F153" s="280">
        <v>10</v>
      </c>
      <c r="G153" s="280">
        <v>0</v>
      </c>
      <c r="H153" s="280">
        <v>0</v>
      </c>
      <c r="I153" s="283">
        <v>80</v>
      </c>
      <c r="J153" s="283">
        <v>80</v>
      </c>
      <c r="K153" s="280">
        <f>((C153*(D153/100))+(E153*(F153/100)*G153)+(H153*(I153/100)*(1-(J153/100))))</f>
        <v>0</v>
      </c>
      <c r="L153" s="280">
        <f>(K153/1000)*PRG!D19</f>
        <v>0</v>
      </c>
    </row>
    <row r="154" spans="2:12" ht="16.5" x14ac:dyDescent="0.35">
      <c r="B154" s="658" t="s">
        <v>98</v>
      </c>
      <c r="C154" s="659" t="s">
        <v>99</v>
      </c>
      <c r="D154" s="660" t="s">
        <v>100</v>
      </c>
      <c r="E154" s="661"/>
      <c r="F154" s="661"/>
      <c r="G154" s="662"/>
      <c r="H154" s="52" t="s">
        <v>101</v>
      </c>
      <c r="I154" s="315"/>
      <c r="J154" s="315"/>
      <c r="K154" s="312"/>
      <c r="L154" s="312"/>
    </row>
    <row r="155" spans="2:12" ht="31" x14ac:dyDescent="0.35">
      <c r="B155" s="658"/>
      <c r="C155" s="659"/>
      <c r="D155" s="52" t="s">
        <v>134</v>
      </c>
      <c r="E155" s="52" t="s">
        <v>103</v>
      </c>
      <c r="F155" s="52" t="s">
        <v>104</v>
      </c>
      <c r="G155" s="52" t="s">
        <v>5</v>
      </c>
      <c r="H155" s="52" t="s">
        <v>105</v>
      </c>
      <c r="I155" s="315"/>
      <c r="J155" s="315"/>
      <c r="K155" s="312"/>
      <c r="L155" s="312"/>
    </row>
    <row r="156" spans="2:12" x14ac:dyDescent="0.35">
      <c r="B156" s="53" t="s">
        <v>151</v>
      </c>
      <c r="C156" s="278"/>
      <c r="D156" s="278"/>
      <c r="E156" s="278"/>
      <c r="F156" s="278"/>
      <c r="G156" s="278"/>
      <c r="H156" s="278"/>
      <c r="I156" s="30"/>
      <c r="J156" s="31"/>
    </row>
    <row r="157" spans="2:12" ht="16.5" x14ac:dyDescent="0.35">
      <c r="B157" s="37" t="s">
        <v>107</v>
      </c>
      <c r="C157" s="5">
        <f>Données!P84</f>
        <v>0</v>
      </c>
      <c r="D157" s="5">
        <f>C157*FE!C6</f>
        <v>0</v>
      </c>
      <c r="E157" s="5">
        <f>C157*FE!D6</f>
        <v>0</v>
      </c>
      <c r="F157" s="5">
        <f>C157*FE!E6</f>
        <v>0</v>
      </c>
      <c r="G157" s="5" t="s">
        <v>8</v>
      </c>
      <c r="H157" s="5">
        <f>((D157*PRG!B$4)+(E157*PRG!C$4)+(F157*PRG!D$4))/1000000</f>
        <v>0</v>
      </c>
      <c r="I157" s="30"/>
      <c r="J157" s="31"/>
    </row>
    <row r="158" spans="2:12" x14ac:dyDescent="0.35">
      <c r="B158" s="37" t="s">
        <v>124</v>
      </c>
      <c r="C158" s="5">
        <f>Données!P85</f>
        <v>0</v>
      </c>
      <c r="D158" s="5">
        <f>C158*FE!C9</f>
        <v>0</v>
      </c>
      <c r="E158" s="5">
        <f>C158*FE!D9</f>
        <v>0</v>
      </c>
      <c r="F158" s="5">
        <f>C158*FE!E9</f>
        <v>0</v>
      </c>
      <c r="G158" s="5" t="s">
        <v>8</v>
      </c>
      <c r="H158" s="5">
        <f>((D158*PRG!B$4)+(E158*PRG!C$4)+(F158*PRG!D$4))/1000000</f>
        <v>0</v>
      </c>
      <c r="I158" s="30"/>
      <c r="J158" s="31"/>
    </row>
    <row r="159" spans="2:12" x14ac:dyDescent="0.35">
      <c r="B159" s="37" t="s">
        <v>109</v>
      </c>
      <c r="C159" s="5">
        <f>Données!P86</f>
        <v>0</v>
      </c>
      <c r="D159" s="5">
        <f>C159*FE!C87</f>
        <v>0</v>
      </c>
      <c r="E159" s="5">
        <f>C159*FE!D87</f>
        <v>0</v>
      </c>
      <c r="F159" s="5">
        <f>C159*FE!E87</f>
        <v>0</v>
      </c>
      <c r="G159" s="5" t="s">
        <v>8</v>
      </c>
      <c r="H159" s="5">
        <f>((D159*PRG!B$4)+(E159*PRG!C$4)+(F159*PRG!D$4))/1000000</f>
        <v>0</v>
      </c>
      <c r="I159" s="30"/>
      <c r="J159" s="31"/>
    </row>
    <row r="160" spans="2:12" x14ac:dyDescent="0.35">
      <c r="B160" s="37" t="s">
        <v>125</v>
      </c>
      <c r="C160" s="5">
        <f>Données!P87</f>
        <v>0</v>
      </c>
      <c r="D160" s="5">
        <f>C160*FE!C10</f>
        <v>0</v>
      </c>
      <c r="E160" s="5">
        <f>C160*FE!D10</f>
        <v>0</v>
      </c>
      <c r="F160" s="5">
        <f>C160*FE!E10</f>
        <v>0</v>
      </c>
      <c r="G160" s="5" t="s">
        <v>8</v>
      </c>
      <c r="H160" s="5">
        <f>((D160*PRG!B$4)+(E160*PRG!C$4)+(F160*PRG!D$4))/1000000</f>
        <v>0</v>
      </c>
      <c r="I160" s="30"/>
      <c r="J160" s="31"/>
    </row>
    <row r="161" spans="2:12" ht="43.5" x14ac:dyDescent="0.35">
      <c r="B161" s="37"/>
      <c r="C161" s="292" t="s">
        <v>111</v>
      </c>
      <c r="D161" s="292" t="s">
        <v>137</v>
      </c>
      <c r="E161" s="292" t="s">
        <v>113</v>
      </c>
      <c r="F161" s="292" t="s">
        <v>127</v>
      </c>
      <c r="G161" s="292" t="s">
        <v>115</v>
      </c>
      <c r="H161" s="292" t="s">
        <v>116</v>
      </c>
      <c r="I161" s="293" t="s">
        <v>128</v>
      </c>
      <c r="J161" s="293" t="s">
        <v>132</v>
      </c>
      <c r="K161" s="292" t="s">
        <v>119</v>
      </c>
      <c r="L161" s="292" t="s">
        <v>130</v>
      </c>
    </row>
    <row r="162" spans="2:12" x14ac:dyDescent="0.35">
      <c r="B162" s="37" t="s">
        <v>14</v>
      </c>
      <c r="C162" s="276">
        <f>Données!P88</f>
        <v>0</v>
      </c>
      <c r="D162" s="276">
        <v>1</v>
      </c>
      <c r="E162" s="276">
        <f>Données!P88</f>
        <v>0</v>
      </c>
      <c r="F162" s="276">
        <v>10</v>
      </c>
      <c r="G162" s="276">
        <v>0</v>
      </c>
      <c r="H162" s="276">
        <v>0</v>
      </c>
      <c r="I162" s="279">
        <v>80</v>
      </c>
      <c r="J162" s="279">
        <v>80</v>
      </c>
      <c r="K162" s="280">
        <f>((C162*(D162/100))+(E162*(F162/100)*G162)+(H162*(I162/100)*(1-(J162/100))))</f>
        <v>0</v>
      </c>
      <c r="L162" s="280">
        <f>(K162/1000)*PRG!D19</f>
        <v>0</v>
      </c>
    </row>
    <row r="163" spans="2:12" ht="16.5" x14ac:dyDescent="0.35">
      <c r="B163" s="658" t="s">
        <v>98</v>
      </c>
      <c r="C163" s="659" t="s">
        <v>99</v>
      </c>
      <c r="D163" s="660" t="s">
        <v>100</v>
      </c>
      <c r="E163" s="661"/>
      <c r="F163" s="661"/>
      <c r="G163" s="662"/>
      <c r="H163" s="52" t="s">
        <v>101</v>
      </c>
      <c r="I163" s="277"/>
      <c r="J163" s="277"/>
      <c r="K163" s="312"/>
      <c r="L163" s="312"/>
    </row>
    <row r="164" spans="2:12" ht="31" x14ac:dyDescent="0.35">
      <c r="B164" s="658"/>
      <c r="C164" s="659"/>
      <c r="D164" s="52" t="s">
        <v>134</v>
      </c>
      <c r="E164" s="52" t="s">
        <v>103</v>
      </c>
      <c r="F164" s="52" t="s">
        <v>104</v>
      </c>
      <c r="G164" s="52" t="s">
        <v>5</v>
      </c>
      <c r="H164" s="52" t="s">
        <v>105</v>
      </c>
      <c r="I164" s="277"/>
      <c r="J164" s="277"/>
      <c r="K164" s="312"/>
      <c r="L164" s="312"/>
    </row>
    <row r="165" spans="2:12" x14ac:dyDescent="0.35">
      <c r="B165" s="53" t="s">
        <v>152</v>
      </c>
      <c r="C165" s="278"/>
      <c r="D165" s="278"/>
      <c r="E165" s="278"/>
      <c r="F165" s="278"/>
      <c r="G165" s="278"/>
      <c r="H165" s="278"/>
      <c r="I165" s="30"/>
      <c r="J165" s="31"/>
    </row>
    <row r="166" spans="2:12" ht="16.5" x14ac:dyDescent="0.35">
      <c r="B166" s="37" t="s">
        <v>107</v>
      </c>
      <c r="C166" s="5">
        <f>Données!P89</f>
        <v>0</v>
      </c>
      <c r="D166" s="5">
        <f>C166*FE!C6</f>
        <v>0</v>
      </c>
      <c r="E166" s="5">
        <f>C166*FE!D6</f>
        <v>0</v>
      </c>
      <c r="F166" s="5">
        <f>C166*FE!E6</f>
        <v>0</v>
      </c>
      <c r="G166" s="5" t="s">
        <v>8</v>
      </c>
      <c r="H166" s="5">
        <f>((D166*PRG!B$4)+(E166*PRG!C$4)+(F166*PRG!D$4))/1000000</f>
        <v>0</v>
      </c>
      <c r="I166" s="30"/>
      <c r="J166" s="31"/>
    </row>
    <row r="167" spans="2:12" x14ac:dyDescent="0.35">
      <c r="B167" s="37" t="s">
        <v>124</v>
      </c>
      <c r="C167" s="5">
        <f>Données!P90</f>
        <v>0</v>
      </c>
      <c r="D167" s="5">
        <f>C167*FE!C9</f>
        <v>0</v>
      </c>
      <c r="E167" s="5">
        <f>C167*FE!D9</f>
        <v>0</v>
      </c>
      <c r="F167" s="5">
        <f>C167*FE!E9</f>
        <v>0</v>
      </c>
      <c r="G167" s="5" t="s">
        <v>8</v>
      </c>
      <c r="H167" s="5">
        <f>((D167*PRG!B$4)+(E167*PRG!C$4)+(F167*PRG!D$4))/1000000</f>
        <v>0</v>
      </c>
      <c r="I167" s="30"/>
      <c r="J167" s="31"/>
    </row>
    <row r="168" spans="2:12" x14ac:dyDescent="0.35">
      <c r="B168" s="37" t="s">
        <v>109</v>
      </c>
      <c r="C168" s="5">
        <f>Données!P91</f>
        <v>0</v>
      </c>
      <c r="D168" s="5">
        <f>C168*FE!C87</f>
        <v>0</v>
      </c>
      <c r="E168" s="5">
        <f>C168*FE!D87</f>
        <v>0</v>
      </c>
      <c r="F168" s="5">
        <f>C168*FE!E87</f>
        <v>0</v>
      </c>
      <c r="G168" s="5" t="s">
        <v>8</v>
      </c>
      <c r="H168" s="5">
        <f>((D168*PRG!B$4)+(E168*PRG!C$4)+(F168*PRG!D$4))/1000000</f>
        <v>0</v>
      </c>
      <c r="I168" s="30"/>
      <c r="J168" s="31"/>
    </row>
    <row r="169" spans="2:12" x14ac:dyDescent="0.35">
      <c r="B169" s="37" t="s">
        <v>125</v>
      </c>
      <c r="C169" s="5">
        <f>Données!P92</f>
        <v>0</v>
      </c>
      <c r="D169" s="5">
        <f>C169*FE!C10</f>
        <v>0</v>
      </c>
      <c r="E169" s="5">
        <f>C169*FE!D10</f>
        <v>0</v>
      </c>
      <c r="F169" s="5">
        <f>C169*FE!E10</f>
        <v>0</v>
      </c>
      <c r="G169" s="5" t="s">
        <v>8</v>
      </c>
      <c r="H169" s="5">
        <f>((D169*PRG!B$4)+(E169*PRG!C$4)+(F169*PRG!D$4))/1000000</f>
        <v>0</v>
      </c>
      <c r="I169" s="30"/>
      <c r="J169" s="31"/>
    </row>
    <row r="170" spans="2:12" ht="43.5" x14ac:dyDescent="0.35">
      <c r="B170" s="37"/>
      <c r="C170" s="292" t="s">
        <v>111</v>
      </c>
      <c r="D170" s="292" t="s">
        <v>126</v>
      </c>
      <c r="E170" s="292" t="s">
        <v>113</v>
      </c>
      <c r="F170" s="292" t="s">
        <v>127</v>
      </c>
      <c r="G170" s="292" t="s">
        <v>115</v>
      </c>
      <c r="H170" s="292" t="s">
        <v>116</v>
      </c>
      <c r="I170" s="293" t="s">
        <v>128</v>
      </c>
      <c r="J170" s="293" t="s">
        <v>129</v>
      </c>
      <c r="K170" s="292" t="s">
        <v>119</v>
      </c>
      <c r="L170" s="292" t="s">
        <v>130</v>
      </c>
    </row>
    <row r="171" spans="2:12" x14ac:dyDescent="0.35">
      <c r="B171" s="37" t="s">
        <v>14</v>
      </c>
      <c r="C171" s="276">
        <f>Données!P93</f>
        <v>0</v>
      </c>
      <c r="D171" s="276">
        <v>1</v>
      </c>
      <c r="E171" s="276">
        <f>Données!P93</f>
        <v>0</v>
      </c>
      <c r="F171" s="276">
        <v>10</v>
      </c>
      <c r="G171" s="276">
        <v>0</v>
      </c>
      <c r="H171" s="276">
        <v>0</v>
      </c>
      <c r="I171" s="279">
        <v>80</v>
      </c>
      <c r="J171" s="279">
        <v>80</v>
      </c>
      <c r="K171" s="280">
        <f>((C171*(D171/100))+(E171*(F171/100)*G171)+(H171*(I171/100)*(1-(J171/100))))</f>
        <v>0</v>
      </c>
      <c r="L171" s="280">
        <f>(K171/1000)*PRG!D19</f>
        <v>0</v>
      </c>
    </row>
    <row r="172" spans="2:12" ht="16.5" x14ac:dyDescent="0.35">
      <c r="B172" s="658" t="s">
        <v>98</v>
      </c>
      <c r="C172" s="659" t="s">
        <v>99</v>
      </c>
      <c r="D172" s="660" t="s">
        <v>100</v>
      </c>
      <c r="E172" s="661"/>
      <c r="F172" s="661"/>
      <c r="G172" s="662"/>
      <c r="H172" s="52" t="s">
        <v>101</v>
      </c>
      <c r="I172" s="277"/>
      <c r="J172" s="277"/>
      <c r="K172" s="312"/>
      <c r="L172" s="312"/>
    </row>
    <row r="173" spans="2:12" ht="31" x14ac:dyDescent="0.35">
      <c r="B173" s="658"/>
      <c r="C173" s="659"/>
      <c r="D173" s="52" t="s">
        <v>134</v>
      </c>
      <c r="E173" s="52" t="s">
        <v>103</v>
      </c>
      <c r="F173" s="52" t="s">
        <v>104</v>
      </c>
      <c r="G173" s="52" t="s">
        <v>5</v>
      </c>
      <c r="H173" s="52" t="s">
        <v>105</v>
      </c>
      <c r="I173" s="277"/>
      <c r="J173" s="277"/>
      <c r="K173" s="312"/>
      <c r="L173" s="312"/>
    </row>
    <row r="174" spans="2:12" x14ac:dyDescent="0.35">
      <c r="B174" s="53" t="s">
        <v>153</v>
      </c>
      <c r="C174" s="278"/>
      <c r="D174" s="278"/>
      <c r="E174" s="278"/>
      <c r="F174" s="278"/>
      <c r="G174" s="278"/>
      <c r="H174" s="278"/>
      <c r="I174" s="30"/>
      <c r="J174" s="31"/>
    </row>
    <row r="175" spans="2:12" ht="16.5" x14ac:dyDescent="0.35">
      <c r="B175" s="37" t="s">
        <v>107</v>
      </c>
      <c r="C175" s="5">
        <f>Données!P94</f>
        <v>0</v>
      </c>
      <c r="D175" s="5">
        <f>$C175*FE!C6</f>
        <v>0</v>
      </c>
      <c r="E175" s="5">
        <f>$C175*FE!D6</f>
        <v>0</v>
      </c>
      <c r="F175" s="5">
        <f>$C175*FE!E6</f>
        <v>0</v>
      </c>
      <c r="G175" s="5" t="s">
        <v>8</v>
      </c>
      <c r="H175" s="5">
        <f>((D175*PRG!B$4)+(E175*PRG!C$4)+(F175*PRG!D$4))/1000000</f>
        <v>0</v>
      </c>
      <c r="I175" s="30"/>
      <c r="J175" s="31"/>
    </row>
    <row r="176" spans="2:12" x14ac:dyDescent="0.35">
      <c r="B176" s="37" t="s">
        <v>124</v>
      </c>
      <c r="C176" s="5">
        <f>Données!P95</f>
        <v>0</v>
      </c>
      <c r="D176" s="5">
        <f>$C176*FE!C9</f>
        <v>0</v>
      </c>
      <c r="E176" s="5">
        <f>$C176*FE!D9</f>
        <v>0</v>
      </c>
      <c r="F176" s="5">
        <f>$C176*FE!E9</f>
        <v>0</v>
      </c>
      <c r="G176" s="5" t="s">
        <v>8</v>
      </c>
      <c r="H176" s="5">
        <f>((D176*PRG!B$4)+(E176*PRG!C$4)+(F176*PRG!D$4))/1000000</f>
        <v>0</v>
      </c>
      <c r="I176" s="30"/>
      <c r="J176" s="31"/>
    </row>
    <row r="177" spans="2:12" x14ac:dyDescent="0.35">
      <c r="B177" s="37" t="s">
        <v>109</v>
      </c>
      <c r="C177" s="5">
        <f>Données!P96</f>
        <v>0</v>
      </c>
      <c r="D177" s="5">
        <f>$C177*FE!C87</f>
        <v>0</v>
      </c>
      <c r="E177" s="5">
        <f>$C177*FE!D87</f>
        <v>0</v>
      </c>
      <c r="F177" s="5">
        <f>$C177*FE!E87</f>
        <v>0</v>
      </c>
      <c r="G177" s="5" t="s">
        <v>8</v>
      </c>
      <c r="H177" s="5">
        <f>((D177*PRG!B$4)+(E177*PRG!C$4)+(F177*PRG!D$4))/1000000</f>
        <v>0</v>
      </c>
      <c r="I177" s="30"/>
      <c r="J177" s="31"/>
    </row>
    <row r="178" spans="2:12" x14ac:dyDescent="0.35">
      <c r="B178" s="37" t="s">
        <v>125</v>
      </c>
      <c r="C178" s="5">
        <f>Données!P97</f>
        <v>0</v>
      </c>
      <c r="D178" s="5">
        <f>$C178*FE!C10</f>
        <v>0</v>
      </c>
      <c r="E178" s="5">
        <f>$C178*FE!D10</f>
        <v>0</v>
      </c>
      <c r="F178" s="5">
        <f>$C178*FE!E10</f>
        <v>0</v>
      </c>
      <c r="G178" s="5" t="s">
        <v>8</v>
      </c>
      <c r="H178" s="5">
        <f>((D178*PRG!B$4)+(E178*PRG!C$4)+(F178*PRG!D$4))/1000000</f>
        <v>0</v>
      </c>
      <c r="I178" s="30"/>
      <c r="J178" s="31"/>
    </row>
    <row r="179" spans="2:12" ht="43.5" x14ac:dyDescent="0.35">
      <c r="B179" s="37"/>
      <c r="C179" s="292" t="s">
        <v>111</v>
      </c>
      <c r="D179" s="292" t="s">
        <v>126</v>
      </c>
      <c r="E179" s="292" t="s">
        <v>113</v>
      </c>
      <c r="F179" s="292" t="s">
        <v>127</v>
      </c>
      <c r="G179" s="292" t="s">
        <v>115</v>
      </c>
      <c r="H179" s="292" t="s">
        <v>116</v>
      </c>
      <c r="I179" s="293" t="s">
        <v>128</v>
      </c>
      <c r="J179" s="293" t="s">
        <v>129</v>
      </c>
      <c r="K179" s="292" t="s">
        <v>119</v>
      </c>
      <c r="L179" s="292" t="s">
        <v>130</v>
      </c>
    </row>
    <row r="180" spans="2:12" x14ac:dyDescent="0.35">
      <c r="B180" s="37" t="s">
        <v>14</v>
      </c>
      <c r="C180" s="280">
        <f>Données!P98</f>
        <v>0</v>
      </c>
      <c r="D180" s="280">
        <v>1</v>
      </c>
      <c r="E180" s="280">
        <f>Données!P98</f>
        <v>0</v>
      </c>
      <c r="F180" s="280">
        <v>10</v>
      </c>
      <c r="G180" s="280">
        <v>0</v>
      </c>
      <c r="H180" s="280">
        <v>0</v>
      </c>
      <c r="I180" s="283">
        <v>80</v>
      </c>
      <c r="J180" s="283">
        <v>80</v>
      </c>
      <c r="K180" s="280">
        <f>((C180*(D180/100))+(E180*(F180/100)*G180)+(H180*(I180/100)*(1-(J180/100))))</f>
        <v>0</v>
      </c>
      <c r="L180" s="280">
        <f>(K180/1000)*PRG!D19</f>
        <v>0</v>
      </c>
    </row>
    <row r="181" spans="2:12" ht="16.5" x14ac:dyDescent="0.35">
      <c r="B181" s="658" t="s">
        <v>98</v>
      </c>
      <c r="C181" s="659" t="s">
        <v>99</v>
      </c>
      <c r="D181" s="660" t="s">
        <v>100</v>
      </c>
      <c r="E181" s="661"/>
      <c r="F181" s="661"/>
      <c r="G181" s="662"/>
      <c r="H181" s="52" t="s">
        <v>101</v>
      </c>
      <c r="I181" s="315"/>
      <c r="J181" s="315"/>
      <c r="K181" s="312"/>
      <c r="L181" s="312"/>
    </row>
    <row r="182" spans="2:12" ht="31" x14ac:dyDescent="0.35">
      <c r="B182" s="658"/>
      <c r="C182" s="659"/>
      <c r="D182" s="52" t="s">
        <v>134</v>
      </c>
      <c r="E182" s="52" t="s">
        <v>103</v>
      </c>
      <c r="F182" s="52" t="s">
        <v>104</v>
      </c>
      <c r="G182" s="52" t="s">
        <v>5</v>
      </c>
      <c r="H182" s="52" t="s">
        <v>105</v>
      </c>
      <c r="I182" s="315"/>
      <c r="J182" s="315"/>
      <c r="K182" s="312"/>
      <c r="L182" s="312"/>
    </row>
    <row r="183" spans="2:12" x14ac:dyDescent="0.35">
      <c r="B183" s="53" t="s">
        <v>154</v>
      </c>
      <c r="C183" s="278"/>
      <c r="D183" s="278"/>
      <c r="E183" s="278"/>
      <c r="F183" s="278"/>
      <c r="G183" s="278"/>
      <c r="H183" s="278"/>
      <c r="I183" s="30"/>
      <c r="J183" s="31"/>
    </row>
    <row r="184" spans="2:12" ht="16.5" x14ac:dyDescent="0.35">
      <c r="B184" s="37" t="s">
        <v>107</v>
      </c>
      <c r="C184" s="5">
        <f>Données!P99</f>
        <v>0</v>
      </c>
      <c r="D184" s="5">
        <f>C184*FE!C6</f>
        <v>0</v>
      </c>
      <c r="E184" s="5">
        <f>$C184*FE!D6</f>
        <v>0</v>
      </c>
      <c r="F184" s="5">
        <f>$C184*FE!E6</f>
        <v>0</v>
      </c>
      <c r="G184" s="5" t="s">
        <v>8</v>
      </c>
      <c r="H184" s="5">
        <f>((D184*PRG!B$4)+(E184*PRG!C$4)+(F184*PRG!D$4))/1000000</f>
        <v>0</v>
      </c>
      <c r="I184" s="30"/>
      <c r="J184" s="31"/>
    </row>
    <row r="185" spans="2:12" x14ac:dyDescent="0.35">
      <c r="B185" s="37" t="s">
        <v>124</v>
      </c>
      <c r="C185" s="5">
        <f>Données!P100</f>
        <v>0</v>
      </c>
      <c r="D185" s="5">
        <f>$C185*FE!C9</f>
        <v>0</v>
      </c>
      <c r="E185" s="5">
        <f>$C185*FE!D9</f>
        <v>0</v>
      </c>
      <c r="F185" s="5">
        <f>$C185*FE!E9</f>
        <v>0</v>
      </c>
      <c r="G185" s="5" t="s">
        <v>8</v>
      </c>
      <c r="H185" s="5">
        <f>((D185*PRG!B$4)+(E185*PRG!C$4)+(F185*PRG!D$4))/1000000</f>
        <v>0</v>
      </c>
      <c r="I185" s="30"/>
      <c r="J185" s="31"/>
    </row>
    <row r="186" spans="2:12" x14ac:dyDescent="0.35">
      <c r="B186" s="37" t="s">
        <v>109</v>
      </c>
      <c r="C186" s="5">
        <f>Données!P101</f>
        <v>0</v>
      </c>
      <c r="D186" s="5">
        <f>$C186*FE!C87</f>
        <v>0</v>
      </c>
      <c r="E186" s="5">
        <f>$C186*FE!D87</f>
        <v>0</v>
      </c>
      <c r="F186" s="5">
        <f>$C186*FE!E87</f>
        <v>0</v>
      </c>
      <c r="G186" s="5" t="s">
        <v>8</v>
      </c>
      <c r="H186" s="5">
        <f>((D186*PRG!B$4)+(E186*PRG!C$4)+(F186*PRG!D$4))/1000000</f>
        <v>0</v>
      </c>
      <c r="I186" s="30"/>
      <c r="J186" s="31"/>
    </row>
    <row r="187" spans="2:12" x14ac:dyDescent="0.35">
      <c r="B187" s="37" t="s">
        <v>125</v>
      </c>
      <c r="C187" s="5">
        <f>Données!P102</f>
        <v>0</v>
      </c>
      <c r="D187" s="5">
        <f>$C187*FE!C10</f>
        <v>0</v>
      </c>
      <c r="E187" s="5">
        <f>$C187*FE!D10</f>
        <v>0</v>
      </c>
      <c r="F187" s="5">
        <f>$C187*FE!E10</f>
        <v>0</v>
      </c>
      <c r="G187" s="5" t="s">
        <v>8</v>
      </c>
      <c r="H187" s="5">
        <f>((D187*PRG!B$4)+(E187*PRG!C$4)+(F187*PRG!D$4))/1000000</f>
        <v>0</v>
      </c>
      <c r="I187" s="30"/>
      <c r="J187" s="31"/>
    </row>
    <row r="188" spans="2:12" ht="43.5" x14ac:dyDescent="0.35">
      <c r="B188" s="37"/>
      <c r="C188" s="292" t="s">
        <v>111</v>
      </c>
      <c r="D188" s="292" t="s">
        <v>126</v>
      </c>
      <c r="E188" s="292" t="s">
        <v>113</v>
      </c>
      <c r="F188" s="292" t="s">
        <v>127</v>
      </c>
      <c r="G188" s="292" t="s">
        <v>115</v>
      </c>
      <c r="H188" s="292" t="s">
        <v>116</v>
      </c>
      <c r="I188" s="293" t="s">
        <v>128</v>
      </c>
      <c r="J188" s="293" t="s">
        <v>129</v>
      </c>
      <c r="K188" s="292" t="s">
        <v>119</v>
      </c>
      <c r="L188" s="292" t="s">
        <v>130</v>
      </c>
    </row>
    <row r="189" spans="2:12" x14ac:dyDescent="0.35">
      <c r="B189" s="37" t="s">
        <v>14</v>
      </c>
      <c r="C189" s="276">
        <f>Données!P103</f>
        <v>0</v>
      </c>
      <c r="D189" s="276">
        <v>1</v>
      </c>
      <c r="E189" s="276">
        <f>Données!P103</f>
        <v>0</v>
      </c>
      <c r="F189" s="276">
        <v>10</v>
      </c>
      <c r="G189" s="276">
        <v>0</v>
      </c>
      <c r="H189" s="276">
        <v>0</v>
      </c>
      <c r="I189" s="279">
        <v>80</v>
      </c>
      <c r="J189" s="279">
        <v>80</v>
      </c>
      <c r="K189" s="280">
        <f>((C189*(D189/100))+(E189*(F189/100)*G189)+(H189*(I189/100)*(1-(J189/100))))</f>
        <v>0</v>
      </c>
      <c r="L189" s="280">
        <f>(K189/1000)*PRG!D19</f>
        <v>0</v>
      </c>
    </row>
    <row r="190" spans="2:12" ht="16.5" x14ac:dyDescent="0.35">
      <c r="B190" s="658" t="s">
        <v>98</v>
      </c>
      <c r="C190" s="659" t="s">
        <v>99</v>
      </c>
      <c r="D190" s="660" t="s">
        <v>100</v>
      </c>
      <c r="E190" s="661"/>
      <c r="F190" s="661"/>
      <c r="G190" s="662"/>
      <c r="H190" s="52" t="s">
        <v>101</v>
      </c>
      <c r="I190" s="277"/>
      <c r="J190" s="277"/>
      <c r="K190" s="312"/>
      <c r="L190" s="312"/>
    </row>
    <row r="191" spans="2:12" ht="31" x14ac:dyDescent="0.35">
      <c r="B191" s="658"/>
      <c r="C191" s="659"/>
      <c r="D191" s="52" t="s">
        <v>134</v>
      </c>
      <c r="E191" s="52" t="s">
        <v>103</v>
      </c>
      <c r="F191" s="52" t="s">
        <v>104</v>
      </c>
      <c r="G191" s="52" t="s">
        <v>5</v>
      </c>
      <c r="H191" s="52" t="s">
        <v>105</v>
      </c>
      <c r="I191" s="277"/>
      <c r="J191" s="277"/>
      <c r="K191" s="312"/>
      <c r="L191" s="312"/>
    </row>
    <row r="192" spans="2:12" x14ac:dyDescent="0.35">
      <c r="B192" s="95" t="s">
        <v>155</v>
      </c>
      <c r="C192" s="278"/>
      <c r="D192" s="278"/>
      <c r="E192" s="278"/>
      <c r="F192" s="278"/>
      <c r="G192" s="278"/>
      <c r="H192" s="278"/>
      <c r="I192" s="30"/>
      <c r="J192" s="31"/>
    </row>
    <row r="193" spans="2:12" ht="16.5" x14ac:dyDescent="0.35">
      <c r="B193" s="37" t="s">
        <v>107</v>
      </c>
      <c r="C193" s="5">
        <f>Données!P104</f>
        <v>0</v>
      </c>
      <c r="D193" s="5">
        <f>C193*FE!C6</f>
        <v>0</v>
      </c>
      <c r="E193" s="5">
        <f>C193*FE!D6</f>
        <v>0</v>
      </c>
      <c r="F193" s="5">
        <f>C193*FE!E6</f>
        <v>0</v>
      </c>
      <c r="G193" s="5" t="s">
        <v>8</v>
      </c>
      <c r="H193" s="5">
        <f>((D193*PRG!B$4)+(E193*PRG!C$4)+(F193*PRG!D$4))/1000000</f>
        <v>0</v>
      </c>
      <c r="I193" s="30"/>
      <c r="J193" s="31"/>
    </row>
    <row r="194" spans="2:12" x14ac:dyDescent="0.35">
      <c r="B194" s="37" t="s">
        <v>124</v>
      </c>
      <c r="C194" s="5">
        <f>Données!P105</f>
        <v>0</v>
      </c>
      <c r="D194" s="5">
        <f>C194*FE!C9</f>
        <v>0</v>
      </c>
      <c r="E194" s="5">
        <f>C194*FE!D9</f>
        <v>0</v>
      </c>
      <c r="F194" s="5">
        <f>C194*FE!E9</f>
        <v>0</v>
      </c>
      <c r="G194" s="5" t="s">
        <v>8</v>
      </c>
      <c r="H194" s="5">
        <f>((D194*PRG!B$4)+(E194*PRG!C$4)+(F194*PRG!D$4))/1000000</f>
        <v>0</v>
      </c>
      <c r="I194" s="30"/>
      <c r="J194" s="31"/>
    </row>
    <row r="195" spans="2:12" x14ac:dyDescent="0.35">
      <c r="B195" s="37" t="s">
        <v>109</v>
      </c>
      <c r="C195" s="5">
        <f>Données!P106</f>
        <v>0</v>
      </c>
      <c r="D195" s="5">
        <f>C195*FE!C87</f>
        <v>0</v>
      </c>
      <c r="E195" s="5">
        <f>C95*FE!D87</f>
        <v>0</v>
      </c>
      <c r="F195" s="5">
        <f>C195*FE!E87</f>
        <v>0</v>
      </c>
      <c r="G195" s="5" t="s">
        <v>8</v>
      </c>
      <c r="H195" s="5">
        <f>((D195*PRG!B$4)+(E195*PRG!C$4)+(F195*PRG!D$4))/1000000</f>
        <v>0</v>
      </c>
      <c r="I195" s="30"/>
      <c r="J195" s="31"/>
    </row>
    <row r="196" spans="2:12" x14ac:dyDescent="0.35">
      <c r="B196" s="37" t="s">
        <v>125</v>
      </c>
      <c r="C196" s="5">
        <f>Données!P107</f>
        <v>0</v>
      </c>
      <c r="D196" s="5">
        <f>$C196*FE!C10</f>
        <v>0</v>
      </c>
      <c r="E196" s="5">
        <f>$C196*FE!D10</f>
        <v>0</v>
      </c>
      <c r="F196" s="5">
        <f>$C196*FE!E10</f>
        <v>0</v>
      </c>
      <c r="G196" s="5" t="s">
        <v>8</v>
      </c>
      <c r="H196" s="5">
        <f>((D196*PRG!B$4)+(E196*PRG!C$4)+(F196*PRG!D$4))/1000000</f>
        <v>0</v>
      </c>
      <c r="I196" s="30"/>
      <c r="J196" s="31"/>
    </row>
    <row r="197" spans="2:12" ht="43.5" x14ac:dyDescent="0.35">
      <c r="B197" s="37"/>
      <c r="C197" s="292" t="s">
        <v>111</v>
      </c>
      <c r="D197" s="292" t="s">
        <v>126</v>
      </c>
      <c r="E197" s="292" t="s">
        <v>113</v>
      </c>
      <c r="F197" s="292" t="s">
        <v>127</v>
      </c>
      <c r="G197" s="292" t="s">
        <v>115</v>
      </c>
      <c r="H197" s="292" t="s">
        <v>116</v>
      </c>
      <c r="I197" s="293" t="s">
        <v>128</v>
      </c>
      <c r="J197" s="293" t="s">
        <v>129</v>
      </c>
      <c r="K197" s="292" t="s">
        <v>119</v>
      </c>
      <c r="L197" s="292" t="s">
        <v>130</v>
      </c>
    </row>
    <row r="198" spans="2:12" x14ac:dyDescent="0.35">
      <c r="B198" s="37" t="s">
        <v>14</v>
      </c>
      <c r="C198" s="276">
        <f>Données!P108</f>
        <v>0</v>
      </c>
      <c r="D198" s="276">
        <v>1</v>
      </c>
      <c r="E198" s="276">
        <f>Données!P108</f>
        <v>0</v>
      </c>
      <c r="F198" s="276">
        <v>10</v>
      </c>
      <c r="G198" s="276">
        <v>0</v>
      </c>
      <c r="H198" s="276">
        <v>0</v>
      </c>
      <c r="I198" s="279">
        <v>80</v>
      </c>
      <c r="J198" s="279">
        <v>80</v>
      </c>
      <c r="K198" s="280">
        <f>((C198*(D198/100))+(E198*(F198/100)*G198)+(H198*(I198/100)*(1-(J198/100))))</f>
        <v>0</v>
      </c>
      <c r="L198" s="280">
        <f>(K198/1000)*PRG!D19</f>
        <v>0</v>
      </c>
    </row>
    <row r="199" spans="2:12" ht="16.5" x14ac:dyDescent="0.35">
      <c r="B199" s="658" t="s">
        <v>98</v>
      </c>
      <c r="C199" s="659" t="s">
        <v>99</v>
      </c>
      <c r="D199" s="660" t="s">
        <v>100</v>
      </c>
      <c r="E199" s="661"/>
      <c r="F199" s="661"/>
      <c r="G199" s="662"/>
      <c r="H199" s="52" t="s">
        <v>101</v>
      </c>
      <c r="I199" s="277"/>
      <c r="J199" s="277"/>
      <c r="K199" s="312"/>
      <c r="L199" s="312"/>
    </row>
    <row r="200" spans="2:12" ht="31" x14ac:dyDescent="0.35">
      <c r="B200" s="658"/>
      <c r="C200" s="659"/>
      <c r="D200" s="52" t="s">
        <v>134</v>
      </c>
      <c r="E200" s="52" t="s">
        <v>103</v>
      </c>
      <c r="F200" s="52" t="s">
        <v>104</v>
      </c>
      <c r="G200" s="52" t="s">
        <v>5</v>
      </c>
      <c r="H200" s="52" t="s">
        <v>105</v>
      </c>
      <c r="I200" s="277"/>
      <c r="J200" s="277"/>
      <c r="K200" s="312"/>
      <c r="L200" s="312"/>
    </row>
    <row r="201" spans="2:12" x14ac:dyDescent="0.35">
      <c r="B201" s="53" t="s">
        <v>156</v>
      </c>
      <c r="C201" s="278"/>
      <c r="D201" s="278"/>
      <c r="E201" s="278"/>
      <c r="F201" s="278"/>
      <c r="G201" s="278"/>
      <c r="H201" s="278"/>
      <c r="I201" s="30"/>
      <c r="J201" s="31"/>
    </row>
    <row r="202" spans="2:12" ht="16.5" x14ac:dyDescent="0.35">
      <c r="B202" s="37" t="s">
        <v>107</v>
      </c>
      <c r="C202" s="5">
        <f>Données!P109</f>
        <v>0</v>
      </c>
      <c r="D202" s="5">
        <f>$C202*FE!C6</f>
        <v>0</v>
      </c>
      <c r="E202" s="5">
        <f>$C202*FE!D6</f>
        <v>0</v>
      </c>
      <c r="F202" s="5">
        <f>$C202*FE!E6</f>
        <v>0</v>
      </c>
      <c r="G202" s="5" t="s">
        <v>8</v>
      </c>
      <c r="H202" s="5">
        <f>((D202*PRG!B$4)+(E202*PRG!C$4)+(F202*PRG!D$4))/1000000</f>
        <v>0</v>
      </c>
      <c r="I202" s="30"/>
      <c r="J202" s="31"/>
    </row>
    <row r="203" spans="2:12" x14ac:dyDescent="0.35">
      <c r="B203" s="37" t="s">
        <v>124</v>
      </c>
      <c r="C203" s="5">
        <f>Données!P110</f>
        <v>0</v>
      </c>
      <c r="D203" s="5">
        <f>$C203*FE!C9</f>
        <v>0</v>
      </c>
      <c r="E203" s="5">
        <f>$C203*FE!D9</f>
        <v>0</v>
      </c>
      <c r="F203" s="5">
        <f>$C203*FE!E9</f>
        <v>0</v>
      </c>
      <c r="G203" s="5" t="s">
        <v>8</v>
      </c>
      <c r="H203" s="5">
        <f>((D203*PRG!B$4)+(E203*PRG!C$4)+(F203*PRG!D$4))/1000000</f>
        <v>0</v>
      </c>
      <c r="I203" s="30"/>
      <c r="J203" s="31"/>
    </row>
    <row r="204" spans="2:12" x14ac:dyDescent="0.35">
      <c r="B204" s="37" t="s">
        <v>109</v>
      </c>
      <c r="C204" s="5">
        <f>Données!P111</f>
        <v>0</v>
      </c>
      <c r="D204" s="5">
        <f>$C204*FE!C87</f>
        <v>0</v>
      </c>
      <c r="E204" s="5">
        <f>$C204*FE!D87</f>
        <v>0</v>
      </c>
      <c r="F204" s="5">
        <f>$C204*FE!E87</f>
        <v>0</v>
      </c>
      <c r="G204" s="5" t="s">
        <v>8</v>
      </c>
      <c r="H204" s="5">
        <f>((D204*PRG!B$4)+(E204*PRG!C$4)+(F204*PRG!D$4))/1000000</f>
        <v>0</v>
      </c>
      <c r="I204" s="30"/>
      <c r="J204" s="31"/>
    </row>
    <row r="205" spans="2:12" x14ac:dyDescent="0.35">
      <c r="B205" s="37" t="s">
        <v>125</v>
      </c>
      <c r="C205" s="5">
        <f>Données!P112</f>
        <v>0</v>
      </c>
      <c r="D205" s="5">
        <f>$C205*FE!C10</f>
        <v>0</v>
      </c>
      <c r="E205" s="5">
        <f>$C205*FE!D10</f>
        <v>0</v>
      </c>
      <c r="F205" s="5">
        <f>$C205*FE!E10</f>
        <v>0</v>
      </c>
      <c r="G205" s="5" t="s">
        <v>8</v>
      </c>
      <c r="H205" s="5">
        <f>((D205*PRG!B$4)+(E205*PRG!C$4)+(F205*PRG!D$4))/1000000</f>
        <v>0</v>
      </c>
      <c r="I205" s="30"/>
      <c r="J205" s="31"/>
    </row>
    <row r="206" spans="2:12" ht="43.5" x14ac:dyDescent="0.35">
      <c r="B206" s="37"/>
      <c r="C206" s="292" t="s">
        <v>111</v>
      </c>
      <c r="D206" s="292" t="s">
        <v>126</v>
      </c>
      <c r="E206" s="292" t="s">
        <v>113</v>
      </c>
      <c r="F206" s="292" t="s">
        <v>127</v>
      </c>
      <c r="G206" s="292" t="s">
        <v>115</v>
      </c>
      <c r="H206" s="292" t="s">
        <v>116</v>
      </c>
      <c r="I206" s="293" t="s">
        <v>128</v>
      </c>
      <c r="J206" s="293" t="s">
        <v>129</v>
      </c>
      <c r="K206" s="292" t="s">
        <v>119</v>
      </c>
      <c r="L206" s="292" t="s">
        <v>130</v>
      </c>
    </row>
    <row r="207" spans="2:12" x14ac:dyDescent="0.35">
      <c r="B207" s="37" t="s">
        <v>14</v>
      </c>
      <c r="C207" s="276">
        <f>Données!P113</f>
        <v>0</v>
      </c>
      <c r="D207" s="276">
        <v>1</v>
      </c>
      <c r="E207" s="276">
        <f>Données!P113</f>
        <v>0</v>
      </c>
      <c r="F207" s="276">
        <v>10</v>
      </c>
      <c r="G207" s="276">
        <v>0</v>
      </c>
      <c r="H207" s="276">
        <v>0</v>
      </c>
      <c r="I207" s="279">
        <v>80</v>
      </c>
      <c r="J207" s="279">
        <v>80</v>
      </c>
      <c r="K207" s="280">
        <f>((C207*(D207/100))+(E207*(F207/100)*G207)+(H207*(I207/100)*(1-(J207/100))))</f>
        <v>0</v>
      </c>
      <c r="L207" s="280">
        <f>(K207/1000)*PRG!D19</f>
        <v>0</v>
      </c>
    </row>
    <row r="208" spans="2:12" ht="16.5" x14ac:dyDescent="0.35">
      <c r="B208" s="658" t="s">
        <v>98</v>
      </c>
      <c r="C208" s="659" t="s">
        <v>99</v>
      </c>
      <c r="D208" s="660" t="s">
        <v>100</v>
      </c>
      <c r="E208" s="661"/>
      <c r="F208" s="661"/>
      <c r="G208" s="662"/>
      <c r="H208" s="52" t="s">
        <v>101</v>
      </c>
      <c r="I208" s="277"/>
      <c r="J208" s="277"/>
      <c r="K208" s="312"/>
      <c r="L208" s="312"/>
    </row>
    <row r="209" spans="2:12" ht="31" x14ac:dyDescent="0.35">
      <c r="B209" s="658"/>
      <c r="C209" s="659"/>
      <c r="D209" s="52" t="s">
        <v>134</v>
      </c>
      <c r="E209" s="52" t="s">
        <v>103</v>
      </c>
      <c r="F209" s="52" t="s">
        <v>104</v>
      </c>
      <c r="G209" s="52" t="s">
        <v>5</v>
      </c>
      <c r="H209" s="52" t="s">
        <v>105</v>
      </c>
      <c r="I209" s="277"/>
      <c r="J209" s="277"/>
      <c r="K209" s="312"/>
      <c r="L209" s="312"/>
    </row>
    <row r="210" spans="2:12" x14ac:dyDescent="0.35">
      <c r="B210" s="53" t="s">
        <v>157</v>
      </c>
      <c r="C210" s="278"/>
      <c r="D210" s="278"/>
      <c r="E210" s="278"/>
      <c r="F210" s="278"/>
      <c r="G210" s="278"/>
      <c r="H210" s="278"/>
      <c r="I210" s="30"/>
      <c r="J210" s="31"/>
    </row>
    <row r="211" spans="2:12" ht="16.5" x14ac:dyDescent="0.35">
      <c r="B211" s="37" t="s">
        <v>107</v>
      </c>
      <c r="C211" s="5">
        <f>Données!P114</f>
        <v>0</v>
      </c>
      <c r="D211" s="5">
        <f>$C211*FE!C6</f>
        <v>0</v>
      </c>
      <c r="E211" s="5">
        <f>$C211*FE!D6</f>
        <v>0</v>
      </c>
      <c r="F211" s="5">
        <f>$C211*FE!E6</f>
        <v>0</v>
      </c>
      <c r="G211" s="5" t="s">
        <v>8</v>
      </c>
      <c r="H211" s="5">
        <f>((D211*PRG!B$4)+(E211*PRG!C$4)+(F211*PRG!D$4))/1000000</f>
        <v>0</v>
      </c>
      <c r="I211" s="30"/>
      <c r="J211" s="31"/>
    </row>
    <row r="212" spans="2:12" x14ac:dyDescent="0.35">
      <c r="B212" s="37" t="s">
        <v>124</v>
      </c>
      <c r="C212" s="5">
        <f>Données!P115</f>
        <v>0</v>
      </c>
      <c r="D212" s="5">
        <f>$C212*FE!C9</f>
        <v>0</v>
      </c>
      <c r="E212" s="5">
        <f>$C212*FE!D9</f>
        <v>0</v>
      </c>
      <c r="F212" s="5">
        <f>$C212*FE!E9</f>
        <v>0</v>
      </c>
      <c r="G212" s="5" t="s">
        <v>8</v>
      </c>
      <c r="H212" s="5">
        <f>((D212*PRG!B$4)+(E212*PRG!C$4)+(F212*PRG!D$4))/1000000</f>
        <v>0</v>
      </c>
      <c r="I212" s="30"/>
      <c r="J212" s="31"/>
    </row>
    <row r="213" spans="2:12" x14ac:dyDescent="0.35">
      <c r="B213" s="37" t="s">
        <v>109</v>
      </c>
      <c r="C213" s="5">
        <f>Données!P116</f>
        <v>0</v>
      </c>
      <c r="D213" s="5">
        <f>$C213*FE!C87</f>
        <v>0</v>
      </c>
      <c r="E213" s="5">
        <f>$C213*FE!D87</f>
        <v>0</v>
      </c>
      <c r="F213" s="5">
        <f>$C213*FE!E87</f>
        <v>0</v>
      </c>
      <c r="G213" s="5" t="s">
        <v>8</v>
      </c>
      <c r="H213" s="5">
        <f>((D213*PRG!B$4)+(E213*PRG!C$4)+(F213*PRG!D$4))/1000000</f>
        <v>0</v>
      </c>
      <c r="I213" s="30"/>
      <c r="J213" s="31"/>
    </row>
    <row r="214" spans="2:12" x14ac:dyDescent="0.35">
      <c r="B214" s="37" t="s">
        <v>125</v>
      </c>
      <c r="C214" s="5">
        <f>Données!P117</f>
        <v>0</v>
      </c>
      <c r="D214" s="5">
        <f>$C214*FE!C10</f>
        <v>0</v>
      </c>
      <c r="E214" s="5">
        <f>$C214*FE!D10</f>
        <v>0</v>
      </c>
      <c r="F214" s="5">
        <f>$C214*FE!E10</f>
        <v>0</v>
      </c>
      <c r="G214" s="5" t="s">
        <v>8</v>
      </c>
      <c r="H214" s="5">
        <f>((D214*PRG!B$4)+(E214*PRG!C$4)+(F214*PRG!D$4))/1000000</f>
        <v>0</v>
      </c>
      <c r="I214" s="30"/>
      <c r="J214" s="31"/>
    </row>
    <row r="215" spans="2:12" ht="43.5" x14ac:dyDescent="0.35">
      <c r="B215" s="37"/>
      <c r="C215" s="292" t="s">
        <v>111</v>
      </c>
      <c r="D215" s="292" t="s">
        <v>137</v>
      </c>
      <c r="E215" s="292" t="s">
        <v>113</v>
      </c>
      <c r="F215" s="292" t="s">
        <v>127</v>
      </c>
      <c r="G215" s="292" t="s">
        <v>115</v>
      </c>
      <c r="H215" s="292" t="s">
        <v>116</v>
      </c>
      <c r="I215" s="293" t="s">
        <v>128</v>
      </c>
      <c r="J215" s="293" t="s">
        <v>129</v>
      </c>
      <c r="K215" s="292" t="s">
        <v>119</v>
      </c>
      <c r="L215" s="292" t="s">
        <v>130</v>
      </c>
    </row>
    <row r="216" spans="2:12" x14ac:dyDescent="0.35">
      <c r="B216" s="37" t="s">
        <v>14</v>
      </c>
      <c r="C216" s="280">
        <f>Données!P118</f>
        <v>0</v>
      </c>
      <c r="D216" s="280">
        <v>1</v>
      </c>
      <c r="E216" s="280">
        <f>Données!P118</f>
        <v>0</v>
      </c>
      <c r="F216" s="280">
        <v>10</v>
      </c>
      <c r="G216" s="280">
        <v>0</v>
      </c>
      <c r="H216" s="280">
        <v>0</v>
      </c>
      <c r="I216" s="283">
        <v>80</v>
      </c>
      <c r="J216" s="283">
        <v>80</v>
      </c>
      <c r="K216" s="280">
        <f>((C216*(D216/100))+(E216*(F216/100)*G216)+(H216*(I216/100)*(1-(J216/100))))</f>
        <v>0</v>
      </c>
      <c r="L216" s="280">
        <f>(K216/1000)*PRG!D19</f>
        <v>0</v>
      </c>
    </row>
    <row r="217" spans="2:12" ht="16.5" x14ac:dyDescent="0.35">
      <c r="B217" s="658" t="s">
        <v>98</v>
      </c>
      <c r="C217" s="659" t="s">
        <v>99</v>
      </c>
      <c r="D217" s="660" t="s">
        <v>100</v>
      </c>
      <c r="E217" s="661"/>
      <c r="F217" s="661"/>
      <c r="G217" s="662"/>
      <c r="H217" s="52" t="s">
        <v>101</v>
      </c>
      <c r="I217" s="315"/>
      <c r="J217" s="315"/>
      <c r="K217" s="312"/>
      <c r="L217" s="312"/>
    </row>
    <row r="218" spans="2:12" ht="31" x14ac:dyDescent="0.35">
      <c r="B218" s="658"/>
      <c r="C218" s="659"/>
      <c r="D218" s="52" t="s">
        <v>134</v>
      </c>
      <c r="E218" s="52" t="s">
        <v>103</v>
      </c>
      <c r="F218" s="52" t="s">
        <v>104</v>
      </c>
      <c r="G218" s="52" t="s">
        <v>5</v>
      </c>
      <c r="H218" s="52" t="s">
        <v>105</v>
      </c>
      <c r="I218" s="315"/>
      <c r="J218" s="315"/>
      <c r="K218" s="312"/>
      <c r="L218" s="312"/>
    </row>
    <row r="219" spans="2:12" x14ac:dyDescent="0.35">
      <c r="B219" s="53" t="s">
        <v>158</v>
      </c>
      <c r="C219" s="278"/>
      <c r="D219" s="278"/>
      <c r="E219" s="278"/>
      <c r="F219" s="278"/>
      <c r="G219" s="278"/>
      <c r="H219" s="278"/>
      <c r="I219" s="30"/>
      <c r="J219" s="31"/>
    </row>
    <row r="220" spans="2:12" ht="16.5" x14ac:dyDescent="0.35">
      <c r="B220" s="37" t="s">
        <v>107</v>
      </c>
      <c r="C220" s="5">
        <f>Données!P119</f>
        <v>0</v>
      </c>
      <c r="D220" s="5">
        <f>$C220*FE!C6</f>
        <v>0</v>
      </c>
      <c r="E220" s="5">
        <f>$C220*FE!D6</f>
        <v>0</v>
      </c>
      <c r="F220" s="5">
        <f>$C220*FE!E6</f>
        <v>0</v>
      </c>
      <c r="G220" s="5" t="s">
        <v>8</v>
      </c>
      <c r="H220" s="5">
        <f>((D220*PRG!B$4)+(E220*PRG!C$4)+(F220*PRG!D$4))/1000000</f>
        <v>0</v>
      </c>
      <c r="I220" s="30"/>
      <c r="J220" s="31"/>
    </row>
    <row r="221" spans="2:12" x14ac:dyDescent="0.35">
      <c r="B221" s="37" t="s">
        <v>124</v>
      </c>
      <c r="C221" s="5">
        <f>Données!P120</f>
        <v>0</v>
      </c>
      <c r="D221" s="5">
        <f>$C221*FE!C9</f>
        <v>0</v>
      </c>
      <c r="E221" s="5">
        <f>$C221*FE!D9</f>
        <v>0</v>
      </c>
      <c r="F221" s="5">
        <f>$C221*FE!E9</f>
        <v>0</v>
      </c>
      <c r="G221" s="5" t="s">
        <v>8</v>
      </c>
      <c r="H221" s="5">
        <f>((D221*PRG!B$4)+(E221*PRG!C$4)+(F221*PRG!D$4))/1000000</f>
        <v>0</v>
      </c>
      <c r="I221" s="30"/>
      <c r="J221" s="31"/>
    </row>
    <row r="222" spans="2:12" x14ac:dyDescent="0.35">
      <c r="B222" s="37" t="s">
        <v>109</v>
      </c>
      <c r="C222" s="5">
        <f>Données!P121</f>
        <v>0</v>
      </c>
      <c r="D222" s="5">
        <f>$C222*FE!C87</f>
        <v>0</v>
      </c>
      <c r="E222" s="5">
        <f>$C222*FE!D87</f>
        <v>0</v>
      </c>
      <c r="F222" s="5">
        <f>$C222*FE!E87</f>
        <v>0</v>
      </c>
      <c r="G222" s="5" t="s">
        <v>8</v>
      </c>
      <c r="H222" s="5">
        <f>((D222*PRG!B$4)+(E222*PRG!C$4)+(F222*PRG!D$4))/1000000</f>
        <v>0</v>
      </c>
      <c r="I222" s="30"/>
      <c r="J222" s="31"/>
    </row>
    <row r="223" spans="2:12" x14ac:dyDescent="0.35">
      <c r="B223" s="37" t="s">
        <v>125</v>
      </c>
      <c r="C223" s="5">
        <f>Données!P122</f>
        <v>0</v>
      </c>
      <c r="D223" s="5">
        <f>$C223*FE!C10</f>
        <v>0</v>
      </c>
      <c r="E223" s="5">
        <f>$C223*FE!D10</f>
        <v>0</v>
      </c>
      <c r="F223" s="5">
        <f>$C223*FE!E10</f>
        <v>0</v>
      </c>
      <c r="G223" s="5" t="s">
        <v>8</v>
      </c>
      <c r="H223" s="5">
        <f>((D223*PRG!B$4)+(E223*PRG!C$4)+(F223*PRG!D$4))/1000000</f>
        <v>0</v>
      </c>
      <c r="I223" s="30"/>
      <c r="J223" s="31"/>
    </row>
    <row r="224" spans="2:12" ht="43.5" x14ac:dyDescent="0.35">
      <c r="B224" s="37"/>
      <c r="C224" s="292" t="s">
        <v>111</v>
      </c>
      <c r="D224" s="292" t="s">
        <v>137</v>
      </c>
      <c r="E224" s="292" t="s">
        <v>113</v>
      </c>
      <c r="F224" s="292" t="s">
        <v>127</v>
      </c>
      <c r="G224" s="292" t="s">
        <v>115</v>
      </c>
      <c r="H224" s="292" t="s">
        <v>116</v>
      </c>
      <c r="I224" s="293" t="s">
        <v>128</v>
      </c>
      <c r="J224" s="293" t="s">
        <v>129</v>
      </c>
      <c r="K224" s="292" t="s">
        <v>119</v>
      </c>
      <c r="L224" s="292" t="s">
        <v>130</v>
      </c>
    </row>
    <row r="225" spans="2:12" x14ac:dyDescent="0.35">
      <c r="B225" s="37" t="s">
        <v>14</v>
      </c>
      <c r="C225" s="280">
        <f>Données!P123</f>
        <v>0</v>
      </c>
      <c r="D225" s="280">
        <v>1</v>
      </c>
      <c r="E225" s="280">
        <f>Données!P123</f>
        <v>0</v>
      </c>
      <c r="F225" s="280">
        <v>10</v>
      </c>
      <c r="G225" s="280">
        <v>0</v>
      </c>
      <c r="H225" s="280">
        <v>0</v>
      </c>
      <c r="I225" s="283">
        <v>80</v>
      </c>
      <c r="J225" s="283">
        <v>80</v>
      </c>
      <c r="K225" s="280">
        <f>((C225*(D225/100))+(E225*(F225/100)*G225)+(H225*(I225/100)*(1-(J225/100))))</f>
        <v>0</v>
      </c>
      <c r="L225" s="280">
        <f>(K225/1000)*PRG!D19</f>
        <v>0</v>
      </c>
    </row>
    <row r="226" spans="2:12" ht="16.5" x14ac:dyDescent="0.35">
      <c r="B226" s="658" t="s">
        <v>98</v>
      </c>
      <c r="C226" s="659" t="s">
        <v>99</v>
      </c>
      <c r="D226" s="660" t="s">
        <v>100</v>
      </c>
      <c r="E226" s="661"/>
      <c r="F226" s="661"/>
      <c r="G226" s="662"/>
      <c r="H226" s="52" t="s">
        <v>101</v>
      </c>
      <c r="I226" s="315"/>
      <c r="J226" s="315"/>
      <c r="K226" s="312"/>
      <c r="L226" s="312"/>
    </row>
    <row r="227" spans="2:12" ht="31" x14ac:dyDescent="0.35">
      <c r="B227" s="658"/>
      <c r="C227" s="659"/>
      <c r="D227" s="52" t="s">
        <v>134</v>
      </c>
      <c r="E227" s="52" t="s">
        <v>103</v>
      </c>
      <c r="F227" s="52" t="s">
        <v>104</v>
      </c>
      <c r="G227" s="52" t="s">
        <v>5</v>
      </c>
      <c r="H227" s="52" t="s">
        <v>105</v>
      </c>
      <c r="I227" s="315"/>
      <c r="J227" s="315"/>
      <c r="K227" s="312"/>
      <c r="L227" s="312"/>
    </row>
    <row r="228" spans="2:12" x14ac:dyDescent="0.35">
      <c r="B228" s="53" t="s">
        <v>159</v>
      </c>
      <c r="C228" s="278"/>
      <c r="D228" s="278"/>
      <c r="E228" s="278"/>
      <c r="F228" s="278"/>
      <c r="G228" s="278"/>
      <c r="H228" s="278"/>
      <c r="I228" s="30"/>
      <c r="J228" s="31"/>
    </row>
    <row r="229" spans="2:12" ht="16.5" x14ac:dyDescent="0.35">
      <c r="B229" s="37" t="s">
        <v>107</v>
      </c>
      <c r="C229" s="5">
        <f>Données!P124</f>
        <v>0</v>
      </c>
      <c r="D229" s="5">
        <f>$C229*FE!C6</f>
        <v>0</v>
      </c>
      <c r="E229" s="5">
        <f>$C229*FE!D6</f>
        <v>0</v>
      </c>
      <c r="F229" s="5">
        <f>$C229*FE!E6</f>
        <v>0</v>
      </c>
      <c r="G229" s="5" t="s">
        <v>8</v>
      </c>
      <c r="H229" s="5">
        <f>((D229*PRG!B$4)+(E229*PRG!C$4)+(F229*PRG!D$4))/1000000</f>
        <v>0</v>
      </c>
      <c r="I229" s="30"/>
      <c r="J229" s="31"/>
    </row>
    <row r="230" spans="2:12" x14ac:dyDescent="0.35">
      <c r="B230" s="37" t="s">
        <v>124</v>
      </c>
      <c r="C230" s="5">
        <f>Données!P125</f>
        <v>0</v>
      </c>
      <c r="D230" s="5">
        <f>$C230*FE!C9</f>
        <v>0</v>
      </c>
      <c r="E230" s="5">
        <f>$C230*FE!D9</f>
        <v>0</v>
      </c>
      <c r="F230" s="5">
        <f>$C230*FE!E9</f>
        <v>0</v>
      </c>
      <c r="G230" s="5" t="s">
        <v>8</v>
      </c>
      <c r="H230" s="5">
        <f>((D230*PRG!B$4)+(E230*PRG!C$4)+(F230*PRG!D$4))/1000000</f>
        <v>0</v>
      </c>
      <c r="I230" s="30"/>
      <c r="J230" s="31"/>
    </row>
    <row r="231" spans="2:12" x14ac:dyDescent="0.35">
      <c r="B231" s="37" t="s">
        <v>109</v>
      </c>
      <c r="C231" s="5">
        <f>Données!P126</f>
        <v>0</v>
      </c>
      <c r="D231" s="5">
        <f>$C231*FE!C87</f>
        <v>0</v>
      </c>
      <c r="E231" s="5">
        <f>$C231*FE!D87</f>
        <v>0</v>
      </c>
      <c r="F231" s="5">
        <f>$C231*FE!E87</f>
        <v>0</v>
      </c>
      <c r="G231" s="5" t="s">
        <v>8</v>
      </c>
      <c r="H231" s="5">
        <f>((D231*PRG!B$4)+(E231*PRG!C$4)+(F231*PRG!D$4))/1000000</f>
        <v>0</v>
      </c>
      <c r="I231" s="30"/>
      <c r="J231" s="31"/>
    </row>
    <row r="232" spans="2:12" x14ac:dyDescent="0.35">
      <c r="B232" s="37" t="s">
        <v>125</v>
      </c>
      <c r="C232" s="5">
        <f>Données!P127</f>
        <v>0</v>
      </c>
      <c r="D232" s="5">
        <f>$C232*FE!C10</f>
        <v>0</v>
      </c>
      <c r="E232" s="5">
        <f>$C232*FE!D10</f>
        <v>0</v>
      </c>
      <c r="F232" s="5">
        <f>$C232*FE!E10</f>
        <v>0</v>
      </c>
      <c r="G232" s="5" t="s">
        <v>8</v>
      </c>
      <c r="H232" s="5">
        <f>((D232*PRG!B$4)+(E232*PRG!C$4)+(F232*PRG!D$4))/1000000</f>
        <v>0</v>
      </c>
      <c r="I232" s="30"/>
      <c r="J232" s="31"/>
    </row>
    <row r="233" spans="2:12" ht="43.5" x14ac:dyDescent="0.35">
      <c r="B233" s="37"/>
      <c r="C233" s="292" t="s">
        <v>111</v>
      </c>
      <c r="D233" s="292" t="s">
        <v>126</v>
      </c>
      <c r="E233" s="292" t="s">
        <v>113</v>
      </c>
      <c r="F233" s="292" t="s">
        <v>127</v>
      </c>
      <c r="G233" s="292" t="s">
        <v>115</v>
      </c>
      <c r="H233" s="292" t="s">
        <v>116</v>
      </c>
      <c r="I233" s="293" t="s">
        <v>128</v>
      </c>
      <c r="J233" s="293" t="s">
        <v>129</v>
      </c>
      <c r="K233" s="292" t="s">
        <v>119</v>
      </c>
      <c r="L233" s="292" t="s">
        <v>130</v>
      </c>
    </row>
    <row r="234" spans="2:12" x14ac:dyDescent="0.35">
      <c r="B234" s="37" t="s">
        <v>14</v>
      </c>
      <c r="C234" s="280">
        <f>Données!P128</f>
        <v>0</v>
      </c>
      <c r="D234" s="280">
        <v>1</v>
      </c>
      <c r="E234" s="280">
        <f>Données!P128</f>
        <v>0</v>
      </c>
      <c r="F234" s="280">
        <v>10</v>
      </c>
      <c r="G234" s="280">
        <v>0</v>
      </c>
      <c r="H234" s="280">
        <v>0</v>
      </c>
      <c r="I234" s="283">
        <v>80</v>
      </c>
      <c r="J234" s="283">
        <v>80</v>
      </c>
      <c r="K234" s="280">
        <f>((C234*(D234/100))+(E234*(F234/100)*G234)+(H234*(I234/100)*(1-(J234/100))))</f>
        <v>0</v>
      </c>
      <c r="L234" s="280">
        <f>(K234/1000)*PRG!D19</f>
        <v>0</v>
      </c>
    </row>
    <row r="235" spans="2:12" ht="16.5" x14ac:dyDescent="0.35">
      <c r="B235" s="658" t="s">
        <v>98</v>
      </c>
      <c r="C235" s="659" t="s">
        <v>99</v>
      </c>
      <c r="D235" s="660" t="s">
        <v>100</v>
      </c>
      <c r="E235" s="661"/>
      <c r="F235" s="661"/>
      <c r="G235" s="662"/>
      <c r="H235" s="52" t="s">
        <v>101</v>
      </c>
      <c r="I235" s="315"/>
      <c r="J235" s="315"/>
      <c r="K235" s="312"/>
      <c r="L235" s="312"/>
    </row>
    <row r="236" spans="2:12" ht="31" x14ac:dyDescent="0.35">
      <c r="B236" s="658"/>
      <c r="C236" s="659"/>
      <c r="D236" s="52" t="s">
        <v>134</v>
      </c>
      <c r="E236" s="52" t="s">
        <v>103</v>
      </c>
      <c r="F236" s="52" t="s">
        <v>104</v>
      </c>
      <c r="G236" s="52" t="s">
        <v>5</v>
      </c>
      <c r="H236" s="52" t="s">
        <v>105</v>
      </c>
      <c r="I236" s="315"/>
      <c r="J236" s="315"/>
      <c r="K236" s="312"/>
      <c r="L236" s="312"/>
    </row>
    <row r="237" spans="2:12" x14ac:dyDescent="0.35">
      <c r="B237" s="53" t="s">
        <v>160</v>
      </c>
      <c r="C237" s="278"/>
      <c r="D237" s="278"/>
      <c r="E237" s="278"/>
      <c r="F237" s="278"/>
      <c r="G237" s="278"/>
      <c r="H237" s="278"/>
      <c r="I237" s="30"/>
      <c r="J237" s="31"/>
    </row>
    <row r="238" spans="2:12" ht="16.5" x14ac:dyDescent="0.35">
      <c r="B238" s="37" t="s">
        <v>107</v>
      </c>
      <c r="C238" s="5">
        <f>Données!P129</f>
        <v>0</v>
      </c>
      <c r="D238" s="5">
        <f>$C238*FE!C6</f>
        <v>0</v>
      </c>
      <c r="E238" s="5">
        <f>$C238*FE!D6</f>
        <v>0</v>
      </c>
      <c r="F238" s="5">
        <f>$C238*FE!E6</f>
        <v>0</v>
      </c>
      <c r="G238" s="5" t="s">
        <v>8</v>
      </c>
      <c r="H238" s="5">
        <f>((D238*PRG!B$4)+(E238*PRG!C$4)+(F238*PRG!D$4))/1000000</f>
        <v>0</v>
      </c>
      <c r="I238" s="30"/>
      <c r="J238" s="31"/>
    </row>
    <row r="239" spans="2:12" x14ac:dyDescent="0.35">
      <c r="B239" s="37" t="s">
        <v>124</v>
      </c>
      <c r="C239" s="5">
        <f>Données!P130</f>
        <v>0</v>
      </c>
      <c r="D239" s="5">
        <f>$C239*FE!C9</f>
        <v>0</v>
      </c>
      <c r="E239" s="5">
        <f>$C239*FE!D9</f>
        <v>0</v>
      </c>
      <c r="F239" s="5">
        <f>$C239*FE!E9</f>
        <v>0</v>
      </c>
      <c r="G239" s="5" t="s">
        <v>8</v>
      </c>
      <c r="H239" s="5">
        <f>((D239*PRG!B$4)+(E239*PRG!C$4)+(F239*PRG!D$4))/1000000</f>
        <v>0</v>
      </c>
      <c r="I239" s="30"/>
      <c r="J239" s="31"/>
    </row>
    <row r="240" spans="2:12" x14ac:dyDescent="0.35">
      <c r="B240" s="37" t="s">
        <v>109</v>
      </c>
      <c r="C240" s="5">
        <f>Données!P131</f>
        <v>0</v>
      </c>
      <c r="D240" s="5">
        <f>$C240*FE!C87</f>
        <v>0</v>
      </c>
      <c r="E240" s="5">
        <f>$C240*FE!D87</f>
        <v>0</v>
      </c>
      <c r="F240" s="5">
        <f>$C240*FE!E87</f>
        <v>0</v>
      </c>
      <c r="G240" s="5" t="s">
        <v>8</v>
      </c>
      <c r="H240" s="5">
        <f>((D240*PRG!B$4)+(E240*PRG!C$4)+(F240*PRG!D$4))/1000000</f>
        <v>0</v>
      </c>
      <c r="I240" s="30"/>
      <c r="J240" s="31"/>
    </row>
    <row r="241" spans="2:12" x14ac:dyDescent="0.35">
      <c r="B241" s="37" t="s">
        <v>125</v>
      </c>
      <c r="C241" s="5">
        <f>Données!P132</f>
        <v>0</v>
      </c>
      <c r="D241" s="5">
        <f>$C241*FE!C10</f>
        <v>0</v>
      </c>
      <c r="E241" s="5">
        <f>C241*FE!D10</f>
        <v>0</v>
      </c>
      <c r="F241" s="5">
        <f>C241*FE!E10</f>
        <v>0</v>
      </c>
      <c r="G241" s="5" t="s">
        <v>8</v>
      </c>
      <c r="H241" s="5">
        <f>((D241*PRG!B$4)+(E241*PRG!C$4)+(F241*PRG!D$4))/1000000</f>
        <v>0</v>
      </c>
      <c r="I241" s="30"/>
      <c r="J241" s="31"/>
    </row>
    <row r="242" spans="2:12" ht="43.5" x14ac:dyDescent="0.35">
      <c r="B242" s="37"/>
      <c r="C242" s="292" t="s">
        <v>111</v>
      </c>
      <c r="D242" s="292" t="s">
        <v>126</v>
      </c>
      <c r="E242" s="292" t="s">
        <v>113</v>
      </c>
      <c r="F242" s="292" t="s">
        <v>127</v>
      </c>
      <c r="G242" s="292" t="s">
        <v>115</v>
      </c>
      <c r="H242" s="292" t="s">
        <v>116</v>
      </c>
      <c r="I242" s="293" t="s">
        <v>128</v>
      </c>
      <c r="J242" s="293" t="s">
        <v>129</v>
      </c>
      <c r="K242" s="292" t="s">
        <v>119</v>
      </c>
      <c r="L242" s="292" t="s">
        <v>130</v>
      </c>
    </row>
    <row r="243" spans="2:12" x14ac:dyDescent="0.35">
      <c r="B243" s="37" t="s">
        <v>14</v>
      </c>
      <c r="C243" s="276">
        <f>Données!P133</f>
        <v>0</v>
      </c>
      <c r="D243" s="276">
        <v>1</v>
      </c>
      <c r="E243" s="280">
        <f>Données!P133</f>
        <v>0</v>
      </c>
      <c r="F243" s="280">
        <v>10</v>
      </c>
      <c r="G243" s="280">
        <v>0</v>
      </c>
      <c r="H243" s="280">
        <v>0</v>
      </c>
      <c r="I243" s="283">
        <v>80</v>
      </c>
      <c r="J243" s="283">
        <v>80</v>
      </c>
      <c r="K243" s="280">
        <f>((C243*(D243/100))+(E243*(F243/100)*G243)+(H243*(I243/100)*(1-(J243/100))))</f>
        <v>0</v>
      </c>
      <c r="L243" s="280">
        <f>(K243/1000)*PRG!D19</f>
        <v>0</v>
      </c>
    </row>
    <row r="244" spans="2:12" ht="16.5" x14ac:dyDescent="0.35">
      <c r="B244" s="658" t="s">
        <v>98</v>
      </c>
      <c r="C244" s="659" t="s">
        <v>99</v>
      </c>
      <c r="D244" s="660" t="s">
        <v>100</v>
      </c>
      <c r="E244" s="661"/>
      <c r="F244" s="661"/>
      <c r="G244" s="662"/>
      <c r="H244" s="52" t="s">
        <v>101</v>
      </c>
      <c r="I244" s="315"/>
      <c r="J244" s="315"/>
      <c r="K244" s="312"/>
      <c r="L244" s="312"/>
    </row>
    <row r="245" spans="2:12" ht="31" x14ac:dyDescent="0.35">
      <c r="B245" s="658"/>
      <c r="C245" s="659"/>
      <c r="D245" s="52" t="s">
        <v>134</v>
      </c>
      <c r="E245" s="52" t="s">
        <v>103</v>
      </c>
      <c r="F245" s="52" t="s">
        <v>104</v>
      </c>
      <c r="G245" s="52" t="s">
        <v>5</v>
      </c>
      <c r="H245" s="52" t="s">
        <v>105</v>
      </c>
      <c r="I245" s="315"/>
      <c r="J245" s="315"/>
      <c r="K245" s="312"/>
      <c r="L245" s="312"/>
    </row>
    <row r="246" spans="2:12" x14ac:dyDescent="0.35">
      <c r="B246" s="53" t="s">
        <v>161</v>
      </c>
      <c r="C246" s="278"/>
      <c r="D246" s="278"/>
      <c r="E246" s="278"/>
      <c r="F246" s="278"/>
      <c r="G246" s="278"/>
      <c r="H246" s="278"/>
      <c r="I246" s="30"/>
      <c r="J246" s="31"/>
    </row>
    <row r="247" spans="2:12" ht="16.5" x14ac:dyDescent="0.35">
      <c r="B247" s="37" t="s">
        <v>107</v>
      </c>
      <c r="C247" s="5">
        <f>Données!P134</f>
        <v>0</v>
      </c>
      <c r="D247" s="5">
        <f>$C247*FE!C6</f>
        <v>0</v>
      </c>
      <c r="E247" s="5">
        <f>$C247*FE!D6</f>
        <v>0</v>
      </c>
      <c r="F247" s="5">
        <f>$C247*FE!E6</f>
        <v>0</v>
      </c>
      <c r="G247" s="5" t="s">
        <v>8</v>
      </c>
      <c r="H247" s="5">
        <f>((D247*PRG!B$4)+(E247*PRG!C$4)+(F247*PRG!D$4))/1000000</f>
        <v>0</v>
      </c>
      <c r="I247" s="30"/>
      <c r="J247" s="31"/>
    </row>
    <row r="248" spans="2:12" x14ac:dyDescent="0.35">
      <c r="B248" s="37" t="s">
        <v>124</v>
      </c>
      <c r="C248" s="5">
        <f>Données!P135</f>
        <v>0</v>
      </c>
      <c r="D248" s="5">
        <f>$C248*FE!C9</f>
        <v>0</v>
      </c>
      <c r="E248" s="5">
        <f>$C248*FE!D9</f>
        <v>0</v>
      </c>
      <c r="F248" s="5">
        <f>$C248*FE!E9</f>
        <v>0</v>
      </c>
      <c r="G248" s="5" t="s">
        <v>8</v>
      </c>
      <c r="H248" s="5">
        <f>((D248*PRG!B$4)+(E248*PRG!C$4)+(F248*PRG!D$4))/1000000</f>
        <v>0</v>
      </c>
      <c r="I248" s="30"/>
      <c r="J248" s="31"/>
    </row>
    <row r="249" spans="2:12" x14ac:dyDescent="0.35">
      <c r="B249" s="37" t="s">
        <v>109</v>
      </c>
      <c r="C249" s="5">
        <f>Données!P136</f>
        <v>0</v>
      </c>
      <c r="D249" s="5">
        <f>$C249*FE!C87</f>
        <v>0</v>
      </c>
      <c r="E249" s="5">
        <f>$C249*FE!D87</f>
        <v>0</v>
      </c>
      <c r="F249" s="5">
        <f>$C249*FE!E87</f>
        <v>0</v>
      </c>
      <c r="G249" s="5" t="s">
        <v>8</v>
      </c>
      <c r="H249" s="5">
        <f>((D249*PRG!B$4)+(E249*PRG!C$4)+(F249*PRG!D$4))/1000000</f>
        <v>0</v>
      </c>
      <c r="I249" s="30"/>
      <c r="J249" s="31"/>
    </row>
    <row r="250" spans="2:12" x14ac:dyDescent="0.35">
      <c r="B250" s="37" t="s">
        <v>125</v>
      </c>
      <c r="C250" s="5">
        <f>Données!P137</f>
        <v>0</v>
      </c>
      <c r="D250" s="5">
        <f>$C250*FE!C10</f>
        <v>0</v>
      </c>
      <c r="E250" s="5">
        <f>$C250*FE!D10</f>
        <v>0</v>
      </c>
      <c r="F250" s="5">
        <f>$C250*FE!E10</f>
        <v>0</v>
      </c>
      <c r="G250" s="5" t="s">
        <v>8</v>
      </c>
      <c r="H250" s="5">
        <f>((D250*PRG!B$4)+(E250*PRG!C$4)+(F250*PRG!D$4))/1000000</f>
        <v>0</v>
      </c>
      <c r="I250" s="30"/>
      <c r="J250" s="31"/>
    </row>
    <row r="251" spans="2:12" ht="43.5" x14ac:dyDescent="0.35">
      <c r="B251" s="37"/>
      <c r="C251" s="292" t="s">
        <v>111</v>
      </c>
      <c r="D251" s="292" t="s">
        <v>126</v>
      </c>
      <c r="E251" s="292" t="s">
        <v>113</v>
      </c>
      <c r="F251" s="292" t="s">
        <v>127</v>
      </c>
      <c r="G251" s="292" t="s">
        <v>115</v>
      </c>
      <c r="H251" s="292" t="s">
        <v>116</v>
      </c>
      <c r="I251" s="293" t="s">
        <v>128</v>
      </c>
      <c r="J251" s="293" t="s">
        <v>132</v>
      </c>
      <c r="K251" s="292" t="s">
        <v>119</v>
      </c>
      <c r="L251" s="292" t="s">
        <v>130</v>
      </c>
    </row>
    <row r="252" spans="2:12" x14ac:dyDescent="0.35">
      <c r="B252" s="37" t="s">
        <v>14</v>
      </c>
      <c r="C252" s="276">
        <f>Données!P138</f>
        <v>0</v>
      </c>
      <c r="D252" s="276">
        <v>1</v>
      </c>
      <c r="E252" s="276">
        <f>Données!P138</f>
        <v>0</v>
      </c>
      <c r="F252" s="276">
        <v>10</v>
      </c>
      <c r="G252" s="276">
        <v>0</v>
      </c>
      <c r="H252" s="276">
        <v>0</v>
      </c>
      <c r="I252" s="279">
        <v>80</v>
      </c>
      <c r="J252" s="279">
        <v>80</v>
      </c>
      <c r="K252" s="276">
        <f>((C252*(D252/100))+(E252*(F252/100)*G252)+(H252*(I252/100)*(1-(J252/100))))</f>
        <v>0</v>
      </c>
      <c r="L252" s="276">
        <f>(K252/1000)*PRG!D19</f>
        <v>0</v>
      </c>
    </row>
    <row r="253" spans="2:12" ht="16.5" x14ac:dyDescent="0.35">
      <c r="B253" s="658" t="s">
        <v>98</v>
      </c>
      <c r="C253" s="659" t="s">
        <v>99</v>
      </c>
      <c r="D253" s="660" t="s">
        <v>100</v>
      </c>
      <c r="E253" s="661"/>
      <c r="F253" s="661"/>
      <c r="G253" s="662"/>
      <c r="H253" s="52" t="s">
        <v>101</v>
      </c>
      <c r="I253" s="277"/>
      <c r="J253" s="277"/>
      <c r="K253" s="291"/>
      <c r="L253" s="291"/>
    </row>
    <row r="254" spans="2:12" ht="31" x14ac:dyDescent="0.35">
      <c r="B254" s="658"/>
      <c r="C254" s="659"/>
      <c r="D254" s="52" t="s">
        <v>134</v>
      </c>
      <c r="E254" s="52" t="s">
        <v>103</v>
      </c>
      <c r="F254" s="52" t="s">
        <v>104</v>
      </c>
      <c r="G254" s="52" t="s">
        <v>5</v>
      </c>
      <c r="H254" s="52" t="s">
        <v>105</v>
      </c>
      <c r="I254" s="277"/>
      <c r="J254" s="277"/>
      <c r="K254" s="291"/>
      <c r="L254" s="291"/>
    </row>
    <row r="255" spans="2:12" x14ac:dyDescent="0.35">
      <c r="B255" s="53" t="s">
        <v>162</v>
      </c>
      <c r="C255" s="278"/>
      <c r="D255" s="278"/>
      <c r="E255" s="278"/>
      <c r="F255" s="278"/>
      <c r="G255" s="278"/>
      <c r="H255" s="278"/>
      <c r="I255" s="30"/>
      <c r="J255" s="31"/>
    </row>
    <row r="256" spans="2:12" ht="16.5" x14ac:dyDescent="0.35">
      <c r="B256" s="37" t="s">
        <v>107</v>
      </c>
      <c r="C256" s="5">
        <f>Données!P139</f>
        <v>0</v>
      </c>
      <c r="D256" s="5">
        <f>$C256*FE!C6</f>
        <v>0</v>
      </c>
      <c r="E256" s="5">
        <f>$C256*FE!D6</f>
        <v>0</v>
      </c>
      <c r="F256" s="5">
        <f>$C256*FE!E6</f>
        <v>0</v>
      </c>
      <c r="G256" s="5" t="s">
        <v>8</v>
      </c>
      <c r="H256" s="5">
        <f>((D256*PRG!B$4)+(E256*PRG!C$4)+(F256*PRG!D$4))/1000000</f>
        <v>0</v>
      </c>
      <c r="I256" s="30"/>
      <c r="J256" s="31"/>
    </row>
    <row r="257" spans="2:12" x14ac:dyDescent="0.35">
      <c r="B257" s="37" t="s">
        <v>124</v>
      </c>
      <c r="C257" s="5">
        <f>Données!P140</f>
        <v>0</v>
      </c>
      <c r="D257" s="5">
        <f>$C257*FE!C9</f>
        <v>0</v>
      </c>
      <c r="E257" s="5">
        <f>$C257*FE!D9</f>
        <v>0</v>
      </c>
      <c r="F257" s="5">
        <f>$C257*FE!E9</f>
        <v>0</v>
      </c>
      <c r="G257" s="5" t="s">
        <v>8</v>
      </c>
      <c r="H257" s="5">
        <f>((D257*PRG!B$4)+(E257*PRG!C$4)+(F257*PRG!D$4))/1000000</f>
        <v>0</v>
      </c>
      <c r="I257" s="30"/>
      <c r="J257" s="31"/>
    </row>
    <row r="258" spans="2:12" x14ac:dyDescent="0.35">
      <c r="B258" s="37" t="s">
        <v>109</v>
      </c>
      <c r="C258" s="5">
        <f>Données!P141</f>
        <v>0</v>
      </c>
      <c r="D258" s="5">
        <f>$C258*FE!C87</f>
        <v>0</v>
      </c>
      <c r="E258" s="5">
        <f>$C258*FE!D87</f>
        <v>0</v>
      </c>
      <c r="F258" s="5">
        <f>$C258*FE!E87</f>
        <v>0</v>
      </c>
      <c r="G258" s="5" t="s">
        <v>8</v>
      </c>
      <c r="H258" s="5">
        <f>((D258*PRG!B$4)+(E258*PRG!C$4)+(F258*PRG!D$4))/1000000</f>
        <v>0</v>
      </c>
      <c r="I258" s="30"/>
      <c r="J258" s="31"/>
    </row>
    <row r="259" spans="2:12" x14ac:dyDescent="0.35">
      <c r="B259" s="37" t="s">
        <v>125</v>
      </c>
      <c r="C259" s="5">
        <f>Données!P142</f>
        <v>0</v>
      </c>
      <c r="D259" s="5">
        <f>$C259*FE!C10</f>
        <v>0</v>
      </c>
      <c r="E259" s="5">
        <f>$C259*FE!D10</f>
        <v>0</v>
      </c>
      <c r="F259" s="5">
        <f>$C259*FE!E10</f>
        <v>0</v>
      </c>
      <c r="G259" s="5" t="s">
        <v>8</v>
      </c>
      <c r="H259" s="5">
        <f>((D259*PRG!B$4)+(E259*PRG!C$4)+(F259*PRG!D$4))/1000000</f>
        <v>0</v>
      </c>
      <c r="I259" s="30"/>
      <c r="J259" s="31"/>
    </row>
    <row r="260" spans="2:12" ht="43.5" x14ac:dyDescent="0.35">
      <c r="B260" s="37"/>
      <c r="C260" s="292" t="s">
        <v>111</v>
      </c>
      <c r="D260" s="292" t="s">
        <v>137</v>
      </c>
      <c r="E260" s="292" t="s">
        <v>113</v>
      </c>
      <c r="F260" s="292" t="s">
        <v>127</v>
      </c>
      <c r="G260" s="292" t="s">
        <v>115</v>
      </c>
      <c r="H260" s="292" t="s">
        <v>116</v>
      </c>
      <c r="I260" s="293" t="s">
        <v>128</v>
      </c>
      <c r="J260" s="293" t="s">
        <v>129</v>
      </c>
      <c r="K260" s="292" t="s">
        <v>119</v>
      </c>
      <c r="L260" s="292" t="s">
        <v>130</v>
      </c>
    </row>
    <row r="261" spans="2:12" x14ac:dyDescent="0.35">
      <c r="B261" s="37" t="s">
        <v>14</v>
      </c>
      <c r="C261" s="5">
        <f>Données!P143</f>
        <v>0</v>
      </c>
      <c r="D261" s="276">
        <v>1</v>
      </c>
      <c r="E261" s="276">
        <f>Données!P143</f>
        <v>0</v>
      </c>
      <c r="F261" s="276">
        <v>10</v>
      </c>
      <c r="G261" s="276">
        <v>0</v>
      </c>
      <c r="H261" s="276">
        <v>0</v>
      </c>
      <c r="I261" s="279">
        <v>80</v>
      </c>
      <c r="J261" s="279">
        <v>80</v>
      </c>
      <c r="K261" s="276">
        <f>((C261*(D261/100))+(E261*(F261/100)*G261)+(H261*(I261/100)*(1-(J261/100))))</f>
        <v>0</v>
      </c>
      <c r="L261" s="276">
        <f>(K261/1000)*PRG!D19</f>
        <v>0</v>
      </c>
    </row>
    <row r="262" spans="2:12" ht="16.5" x14ac:dyDescent="0.35">
      <c r="B262" s="658" t="s">
        <v>98</v>
      </c>
      <c r="C262" s="659" t="s">
        <v>99</v>
      </c>
      <c r="D262" s="660" t="s">
        <v>100</v>
      </c>
      <c r="E262" s="661"/>
      <c r="F262" s="661"/>
      <c r="G262" s="662"/>
      <c r="H262" s="52" t="s">
        <v>101</v>
      </c>
      <c r="I262" s="277"/>
      <c r="J262" s="277"/>
      <c r="K262" s="291"/>
      <c r="L262" s="291"/>
    </row>
    <row r="263" spans="2:12" ht="31" x14ac:dyDescent="0.35">
      <c r="B263" s="658"/>
      <c r="C263" s="659"/>
      <c r="D263" s="52" t="s">
        <v>134</v>
      </c>
      <c r="E263" s="52" t="s">
        <v>103</v>
      </c>
      <c r="F263" s="52" t="s">
        <v>104</v>
      </c>
      <c r="G263" s="52" t="s">
        <v>5</v>
      </c>
      <c r="H263" s="52" t="s">
        <v>105</v>
      </c>
      <c r="I263" s="277"/>
      <c r="J263" s="277"/>
      <c r="K263" s="291"/>
      <c r="L263" s="291"/>
    </row>
    <row r="264" spans="2:12" x14ac:dyDescent="0.35">
      <c r="B264" s="53" t="s">
        <v>163</v>
      </c>
      <c r="C264" s="111"/>
      <c r="D264" s="278"/>
      <c r="E264" s="278"/>
      <c r="F264" s="278"/>
      <c r="G264" s="278"/>
      <c r="H264" s="278"/>
      <c r="I264" s="30"/>
      <c r="J264" s="31"/>
    </row>
    <row r="265" spans="2:12" ht="16.5" x14ac:dyDescent="0.35">
      <c r="B265" s="37" t="s">
        <v>107</v>
      </c>
      <c r="C265" s="5">
        <f>Données!P144</f>
        <v>0</v>
      </c>
      <c r="D265" s="5">
        <f>$C265*FE!C6</f>
        <v>0</v>
      </c>
      <c r="E265" s="5">
        <f>$C265*FE!D6</f>
        <v>0</v>
      </c>
      <c r="F265" s="5">
        <f>$C265*FE!E6</f>
        <v>0</v>
      </c>
      <c r="G265" s="5" t="s">
        <v>8</v>
      </c>
      <c r="H265" s="5">
        <f>((D265*PRG!B$4)+(E265*PRG!C$4)+(F265*PRG!D$4))/1000000</f>
        <v>0</v>
      </c>
      <c r="I265" s="30"/>
      <c r="J265" s="31"/>
    </row>
    <row r="266" spans="2:12" x14ac:dyDescent="0.35">
      <c r="B266" s="37" t="s">
        <v>124</v>
      </c>
      <c r="C266" s="5">
        <f>Données!P145</f>
        <v>0</v>
      </c>
      <c r="D266" s="5">
        <f>$C266*FE!C9</f>
        <v>0</v>
      </c>
      <c r="E266" s="5">
        <f>$C266*FE!D9</f>
        <v>0</v>
      </c>
      <c r="F266" s="5">
        <f>$C266*FE!E9</f>
        <v>0</v>
      </c>
      <c r="G266" s="5" t="s">
        <v>8</v>
      </c>
      <c r="H266" s="5">
        <f>((D266*PRG!B$4)+(E266*PRG!C$4)+(F266*PRG!D$4))/1000000</f>
        <v>0</v>
      </c>
      <c r="I266" s="30"/>
      <c r="J266" s="31"/>
    </row>
    <row r="267" spans="2:12" x14ac:dyDescent="0.35">
      <c r="B267" s="37" t="s">
        <v>109</v>
      </c>
      <c r="C267" s="5">
        <f>Données!P146</f>
        <v>0</v>
      </c>
      <c r="D267" s="5">
        <f>$C267*FE!C87</f>
        <v>0</v>
      </c>
      <c r="E267" s="5">
        <f>$C267*FE!D87</f>
        <v>0</v>
      </c>
      <c r="F267" s="5">
        <f>$C267*FE!E87</f>
        <v>0</v>
      </c>
      <c r="G267" s="5" t="s">
        <v>8</v>
      </c>
      <c r="H267" s="5">
        <f>((D267*PRG!B$4)+(E267*PRG!C$4)+(F267*PRG!D$4))/1000000</f>
        <v>0</v>
      </c>
      <c r="I267" s="30"/>
      <c r="J267" s="31"/>
    </row>
    <row r="268" spans="2:12" x14ac:dyDescent="0.35">
      <c r="B268" s="37" t="s">
        <v>125</v>
      </c>
      <c r="C268" s="5">
        <f>Données!P147</f>
        <v>0</v>
      </c>
      <c r="D268" s="5">
        <f>C$268*FE!C10</f>
        <v>0</v>
      </c>
      <c r="E268" s="5">
        <f>$C268*FE!D10</f>
        <v>0</v>
      </c>
      <c r="F268" s="5">
        <f>C268*FE!E10</f>
        <v>0</v>
      </c>
      <c r="G268" s="5" t="s">
        <v>8</v>
      </c>
      <c r="H268" s="5">
        <f>((D268*PRG!B$4)+(E268*PRG!C$4)+(F268*PRG!D$4))/1000000</f>
        <v>0</v>
      </c>
      <c r="I268" s="30"/>
      <c r="J268" s="31"/>
    </row>
    <row r="269" spans="2:12" ht="43.5" x14ac:dyDescent="0.35">
      <c r="B269" s="37"/>
      <c r="C269" s="292" t="s">
        <v>111</v>
      </c>
      <c r="D269" s="292" t="s">
        <v>126</v>
      </c>
      <c r="E269" s="292" t="s">
        <v>113</v>
      </c>
      <c r="F269" s="292" t="s">
        <v>127</v>
      </c>
      <c r="G269" s="292" t="s">
        <v>115</v>
      </c>
      <c r="H269" s="292" t="s">
        <v>116</v>
      </c>
      <c r="I269" s="293" t="s">
        <v>128</v>
      </c>
      <c r="J269" s="293" t="s">
        <v>129</v>
      </c>
      <c r="K269" s="292" t="s">
        <v>119</v>
      </c>
      <c r="L269" s="292" t="s">
        <v>130</v>
      </c>
    </row>
    <row r="270" spans="2:12" x14ac:dyDescent="0.35">
      <c r="B270" s="37" t="s">
        <v>14</v>
      </c>
      <c r="C270" s="276">
        <f>Données!P148</f>
        <v>0</v>
      </c>
      <c r="D270" s="276">
        <v>1</v>
      </c>
      <c r="E270" s="276">
        <f>Données!P148</f>
        <v>0</v>
      </c>
      <c r="F270" s="276">
        <v>10</v>
      </c>
      <c r="G270" s="276">
        <v>0</v>
      </c>
      <c r="H270" s="276">
        <v>0</v>
      </c>
      <c r="I270" s="279">
        <v>80</v>
      </c>
      <c r="J270" s="279">
        <v>80</v>
      </c>
      <c r="K270" s="276">
        <f>((C270*(D270/100))+(E270*(F270/100)*G270)+(H270*(I270/100)*(1-(J270/100))))</f>
        <v>0</v>
      </c>
      <c r="L270" s="276">
        <f>(K270/1000)*PRG!D19</f>
        <v>0</v>
      </c>
    </row>
    <row r="271" spans="2:12" ht="16.5" x14ac:dyDescent="0.35">
      <c r="B271" s="658" t="s">
        <v>98</v>
      </c>
      <c r="C271" s="659" t="s">
        <v>164</v>
      </c>
      <c r="D271" s="660" t="s">
        <v>100</v>
      </c>
      <c r="E271" s="661"/>
      <c r="F271" s="661"/>
      <c r="G271" s="662"/>
      <c r="H271" s="52" t="s">
        <v>101</v>
      </c>
      <c r="I271" s="277"/>
      <c r="J271" s="277"/>
      <c r="K271" s="291"/>
      <c r="L271" s="291"/>
    </row>
    <row r="272" spans="2:12" ht="31" x14ac:dyDescent="0.35">
      <c r="B272" s="658"/>
      <c r="C272" s="659"/>
      <c r="D272" s="52" t="s">
        <v>102</v>
      </c>
      <c r="E272" s="52" t="s">
        <v>103</v>
      </c>
      <c r="F272" s="52" t="s">
        <v>104</v>
      </c>
      <c r="G272" s="52" t="s">
        <v>5</v>
      </c>
      <c r="H272" s="52" t="s">
        <v>105</v>
      </c>
      <c r="I272" s="277"/>
      <c r="J272" s="277"/>
      <c r="K272" s="291"/>
      <c r="L272" s="291"/>
    </row>
    <row r="273" spans="2:10" x14ac:dyDescent="0.35">
      <c r="B273" s="674" t="s">
        <v>61</v>
      </c>
      <c r="C273" s="675"/>
      <c r="D273" s="675"/>
      <c r="E273" s="675"/>
      <c r="F273" s="675"/>
      <c r="G273" s="675"/>
      <c r="H273" s="675"/>
      <c r="I273" s="30"/>
      <c r="J273" s="31"/>
    </row>
    <row r="274" spans="2:10" x14ac:dyDescent="0.35">
      <c r="B274" s="58" t="s">
        <v>165</v>
      </c>
      <c r="C274" s="112"/>
      <c r="D274" s="113"/>
      <c r="E274" s="113"/>
      <c r="F274" s="113"/>
      <c r="G274" s="113"/>
      <c r="H274" s="113"/>
      <c r="I274" s="30"/>
      <c r="J274" s="31"/>
    </row>
    <row r="275" spans="2:10" x14ac:dyDescent="0.35">
      <c r="B275" s="37" t="s">
        <v>166</v>
      </c>
      <c r="C275" s="155">
        <f>Données!P151</f>
        <v>0</v>
      </c>
      <c r="D275" s="5">
        <f>$C275*FE!C17</f>
        <v>0</v>
      </c>
      <c r="E275" s="5">
        <f>$C275*FE!D17</f>
        <v>0</v>
      </c>
      <c r="F275" s="5">
        <f>$C275*FE!E17</f>
        <v>0</v>
      </c>
      <c r="G275" s="5" t="s">
        <v>8</v>
      </c>
      <c r="H275" s="91">
        <f>((D275*PRG!B$4)+(E275*PRG!C$4)+(F275*PRG!D$4))/1000000</f>
        <v>0</v>
      </c>
      <c r="I275" s="55"/>
      <c r="J275" s="56"/>
    </row>
    <row r="276" spans="2:10" x14ac:dyDescent="0.35">
      <c r="B276" s="58" t="s">
        <v>165</v>
      </c>
      <c r="C276" s="112"/>
      <c r="D276" s="113"/>
      <c r="E276" s="113"/>
      <c r="F276" s="113"/>
      <c r="G276" s="113"/>
      <c r="H276" s="113"/>
      <c r="I276" s="55"/>
      <c r="J276" s="56"/>
    </row>
    <row r="277" spans="2:10" x14ac:dyDescent="0.35">
      <c r="B277" s="37" t="s">
        <v>125</v>
      </c>
      <c r="C277" s="155">
        <f>Données!P152</f>
        <v>0</v>
      </c>
      <c r="D277" s="5">
        <f>$C277*FE!C37</f>
        <v>0</v>
      </c>
      <c r="E277" s="5">
        <f>$C277*FE!D37</f>
        <v>0</v>
      </c>
      <c r="F277" s="5">
        <f>$C277*FE!E37</f>
        <v>0</v>
      </c>
      <c r="G277" s="5" t="s">
        <v>8</v>
      </c>
      <c r="H277" s="91">
        <f>((D277*PRG!B$4)+(E277*PRG!C$4)+(F277*PRG!D$4))/1000000</f>
        <v>0</v>
      </c>
      <c r="I277" s="55"/>
      <c r="J277" s="56"/>
    </row>
    <row r="278" spans="2:10" x14ac:dyDescent="0.35">
      <c r="B278" s="58" t="s">
        <v>165</v>
      </c>
      <c r="C278" s="238"/>
      <c r="D278" s="111"/>
      <c r="E278" s="111"/>
      <c r="F278" s="111"/>
      <c r="G278" s="111"/>
      <c r="H278" s="110"/>
      <c r="I278" s="55"/>
      <c r="J278" s="56"/>
    </row>
    <row r="279" spans="2:10" x14ac:dyDescent="0.35">
      <c r="B279" s="37" t="s">
        <v>14</v>
      </c>
      <c r="C279" s="155"/>
      <c r="D279" s="5" t="s">
        <v>8</v>
      </c>
      <c r="E279" s="5" t="s">
        <v>8</v>
      </c>
      <c r="F279" s="5" t="s">
        <v>8</v>
      </c>
      <c r="G279" s="226">
        <f>(Données!P153)/1000</f>
        <v>3.9000000000000003E-3</v>
      </c>
      <c r="H279" s="258">
        <f>G279*PRG!D30</f>
        <v>5.07</v>
      </c>
      <c r="I279" s="55"/>
      <c r="J279" s="56"/>
    </row>
    <row r="280" spans="2:10" x14ac:dyDescent="0.35">
      <c r="B280" s="263" t="s">
        <v>65</v>
      </c>
      <c r="C280" s="260"/>
      <c r="D280" s="133"/>
      <c r="E280" s="133"/>
      <c r="F280" s="133"/>
      <c r="G280" s="133"/>
      <c r="H280" s="261"/>
      <c r="I280" s="55"/>
      <c r="J280" s="56"/>
    </row>
    <row r="281" spans="2:10" x14ac:dyDescent="0.35">
      <c r="B281" s="259" t="s">
        <v>167</v>
      </c>
      <c r="C281" s="238"/>
      <c r="D281" s="111"/>
      <c r="E281" s="111"/>
      <c r="F281" s="111"/>
      <c r="G281" s="111"/>
      <c r="H281" s="110"/>
      <c r="I281" s="55"/>
      <c r="J281" s="56"/>
    </row>
    <row r="282" spans="2:10" x14ac:dyDescent="0.35">
      <c r="B282" s="37" t="s">
        <v>13</v>
      </c>
      <c r="C282" s="431">
        <f>Données!P187</f>
        <v>0</v>
      </c>
      <c r="D282" s="5">
        <f>$C282*FE!C$45</f>
        <v>0</v>
      </c>
      <c r="E282" s="5">
        <f>$C282*FE!D$45</f>
        <v>0</v>
      </c>
      <c r="F282" s="5">
        <f>$C282*FE!E$45</f>
        <v>0</v>
      </c>
      <c r="G282" s="5" t="s">
        <v>8</v>
      </c>
      <c r="H282" s="91">
        <f>((D282*PRG!B$4)+(E282*PRG!C$4)+(' Scope 1'!F282*PRG!D$4))/1000000</f>
        <v>0</v>
      </c>
      <c r="I282" s="55"/>
      <c r="J282" s="56"/>
    </row>
    <row r="283" spans="2:10" x14ac:dyDescent="0.35">
      <c r="B283" s="259" t="s">
        <v>168</v>
      </c>
      <c r="C283" s="238">
        <f>SUM(C284:C285)</f>
        <v>0</v>
      </c>
      <c r="D283" s="238">
        <f t="shared" ref="D283:H283" si="1">SUM(D284:D285)</f>
        <v>0</v>
      </c>
      <c r="E283" s="238">
        <f t="shared" si="1"/>
        <v>0</v>
      </c>
      <c r="F283" s="238">
        <f t="shared" si="1"/>
        <v>0</v>
      </c>
      <c r="G283" s="238">
        <f t="shared" si="1"/>
        <v>0</v>
      </c>
      <c r="H283" s="238">
        <f t="shared" si="1"/>
        <v>0</v>
      </c>
      <c r="I283" s="55"/>
      <c r="J283" s="56"/>
    </row>
    <row r="284" spans="2:10" x14ac:dyDescent="0.35">
      <c r="B284" s="37" t="s">
        <v>169</v>
      </c>
      <c r="C284" s="431">
        <f>Données!P189</f>
        <v>0</v>
      </c>
      <c r="D284" s="5">
        <f>$C284*FE!C$45</f>
        <v>0</v>
      </c>
      <c r="E284" s="5">
        <f>$C284*FE!D$45</f>
        <v>0</v>
      </c>
      <c r="F284" s="5">
        <f>$C284*FE!E$45</f>
        <v>0</v>
      </c>
      <c r="G284" s="5" t="s">
        <v>8</v>
      </c>
      <c r="H284" s="91">
        <f>((D284*PRG!B$4)+(E284*PRG!C$4)+(' Scope 1'!F284*PRG!D$4))/1000000</f>
        <v>0</v>
      </c>
      <c r="I284" s="55"/>
      <c r="J284" s="56"/>
    </row>
    <row r="285" spans="2:10" x14ac:dyDescent="0.35">
      <c r="B285" s="37" t="s">
        <v>170</v>
      </c>
      <c r="C285" s="431">
        <f>Données!P190</f>
        <v>0</v>
      </c>
      <c r="D285" s="5">
        <f>$C285*FE!C$45</f>
        <v>0</v>
      </c>
      <c r="E285" s="5">
        <f>$C285*FE!D$45</f>
        <v>0</v>
      </c>
      <c r="F285" s="5">
        <f>$C285*FE!E$45</f>
        <v>0</v>
      </c>
      <c r="G285" s="5" t="s">
        <v>8</v>
      </c>
      <c r="H285" s="91">
        <f>((D285*PRG!B$4)+(E285*PRG!C$4)+(' Scope 1'!F285*PRG!D$4))/1000000</f>
        <v>0</v>
      </c>
      <c r="I285" s="55"/>
      <c r="J285" s="56"/>
    </row>
    <row r="286" spans="2:10" x14ac:dyDescent="0.35">
      <c r="B286" s="259" t="s">
        <v>171</v>
      </c>
      <c r="C286" s="434">
        <f>SUM(C287:C290)</f>
        <v>0</v>
      </c>
      <c r="D286" s="434">
        <f t="shared" ref="D286:G286" si="2">SUM(D287:D290)</f>
        <v>0</v>
      </c>
      <c r="E286" s="434">
        <f t="shared" si="2"/>
        <v>0</v>
      </c>
      <c r="F286" s="434">
        <f>SUM(F287:F290)</f>
        <v>0</v>
      </c>
      <c r="G286" s="434">
        <f t="shared" si="2"/>
        <v>0</v>
      </c>
      <c r="H286" s="434">
        <f>SUM(H287:H290)</f>
        <v>0</v>
      </c>
      <c r="I286" s="55"/>
      <c r="J286" s="56"/>
    </row>
    <row r="287" spans="2:10" x14ac:dyDescent="0.35">
      <c r="B287" s="37" t="s">
        <v>172</v>
      </c>
      <c r="C287" s="154">
        <f>Données!P192</f>
        <v>0</v>
      </c>
      <c r="D287" s="5">
        <f>$C287*FE!C45</f>
        <v>0</v>
      </c>
      <c r="E287" s="5">
        <f>$C287*FE!D45</f>
        <v>0</v>
      </c>
      <c r="F287" s="5">
        <f>$C287*FE!E45</f>
        <v>0</v>
      </c>
      <c r="G287" s="5" t="s">
        <v>8</v>
      </c>
      <c r="H287" s="5">
        <f>((D287*PRG!B$4)+(E287*PRG!C$4)+(' Scope 1'!F287*PRG!D$4))/1000000</f>
        <v>0</v>
      </c>
    </row>
    <row r="288" spans="2:10" x14ac:dyDescent="0.35">
      <c r="B288" s="37" t="s">
        <v>173</v>
      </c>
      <c r="C288" s="154">
        <f>Données!P193</f>
        <v>0</v>
      </c>
      <c r="D288" s="5">
        <f>$C288*FE!C45</f>
        <v>0</v>
      </c>
      <c r="E288" s="5">
        <f>$C288*FE!D45</f>
        <v>0</v>
      </c>
      <c r="F288" s="5">
        <f>$C288*FE!E45</f>
        <v>0</v>
      </c>
      <c r="G288" s="5" t="s">
        <v>8</v>
      </c>
      <c r="H288" s="5">
        <f>((D288*PRG!B$4)+(E288*PRG!C$4)+(' Scope 1'!F288*PRG!D$4))/1000000</f>
        <v>0</v>
      </c>
      <c r="I288" s="55"/>
      <c r="J288" s="56"/>
    </row>
    <row r="289" spans="2:10" x14ac:dyDescent="0.35">
      <c r="B289" s="37" t="s">
        <v>174</v>
      </c>
      <c r="C289" s="154">
        <f>Données!P194</f>
        <v>0</v>
      </c>
      <c r="D289" s="5">
        <f>$C289*FE!C45</f>
        <v>0</v>
      </c>
      <c r="E289" s="5">
        <f>$C289*FE!D45</f>
        <v>0</v>
      </c>
      <c r="F289" s="5">
        <f>$C289*FE!E45</f>
        <v>0</v>
      </c>
      <c r="G289" s="5" t="s">
        <v>8</v>
      </c>
      <c r="H289" s="5">
        <f>((D289*PRG!B$4)+(E289*PRG!C$4)+(' Scope 1'!F289*PRG!D$4))/1000000</f>
        <v>0</v>
      </c>
      <c r="I289" s="55"/>
      <c r="J289" s="56"/>
    </row>
    <row r="290" spans="2:10" x14ac:dyDescent="0.35">
      <c r="B290" s="37" t="s">
        <v>175</v>
      </c>
      <c r="C290" s="154">
        <f>Données!P195</f>
        <v>0</v>
      </c>
      <c r="D290" s="5">
        <f>$C290*FE!C45</f>
        <v>0</v>
      </c>
      <c r="E290" s="5">
        <f>$C290*FE!D45</f>
        <v>0</v>
      </c>
      <c r="F290" s="5">
        <f>$C290*FE!E45</f>
        <v>0</v>
      </c>
      <c r="G290" s="5" t="s">
        <v>8</v>
      </c>
      <c r="H290" s="5">
        <f>((D290*PRG!B$4)+(E290*PRG!C$4)+(' Scope 1'!F290*PRG!D$4))/1000000</f>
        <v>0</v>
      </c>
      <c r="I290" s="55"/>
      <c r="J290" s="56"/>
    </row>
    <row r="291" spans="2:10" x14ac:dyDescent="0.35">
      <c r="B291" s="259" t="s">
        <v>176</v>
      </c>
      <c r="C291" s="434">
        <f>SUM(C292:C295)</f>
        <v>0</v>
      </c>
      <c r="D291" s="434">
        <f t="shared" ref="D291:H291" si="3">SUM(D292:D295)</f>
        <v>0</v>
      </c>
      <c r="E291" s="434">
        <f t="shared" si="3"/>
        <v>0</v>
      </c>
      <c r="F291" s="434">
        <f t="shared" si="3"/>
        <v>0</v>
      </c>
      <c r="G291" s="434">
        <f t="shared" si="3"/>
        <v>0</v>
      </c>
      <c r="H291" s="434">
        <f t="shared" si="3"/>
        <v>0</v>
      </c>
      <c r="I291" s="55"/>
      <c r="J291" s="56"/>
    </row>
    <row r="292" spans="2:10" x14ac:dyDescent="0.35">
      <c r="B292" s="37" t="s">
        <v>177</v>
      </c>
      <c r="C292" s="431">
        <f>Données!P196</f>
        <v>0</v>
      </c>
      <c r="D292" s="5">
        <f>$C292*FE!C$45</f>
        <v>0</v>
      </c>
      <c r="E292" s="5">
        <f>$C292*FE!D$45</f>
        <v>0</v>
      </c>
      <c r="F292" s="5">
        <f>$C292*FE!E$45</f>
        <v>0</v>
      </c>
      <c r="G292" s="5" t="s">
        <v>8</v>
      </c>
      <c r="H292" s="5">
        <f>((D292*PRG!B$4)+(E292*PRG!C$4)+(' Scope 1'!F292*PRG!D$4))/1000000</f>
        <v>0</v>
      </c>
      <c r="I292" s="55"/>
      <c r="J292" s="56"/>
    </row>
    <row r="293" spans="2:10" x14ac:dyDescent="0.35">
      <c r="B293" s="37" t="s">
        <v>178</v>
      </c>
      <c r="C293" s="431">
        <f>Données!P197</f>
        <v>0</v>
      </c>
      <c r="D293" s="5">
        <f>$C293*FE!C$45</f>
        <v>0</v>
      </c>
      <c r="E293" s="5">
        <f>$C293*FE!D$45</f>
        <v>0</v>
      </c>
      <c r="F293" s="5">
        <f>$C293*FE!E$45</f>
        <v>0</v>
      </c>
      <c r="G293" s="5" t="s">
        <v>8</v>
      </c>
      <c r="H293" s="5">
        <f>((D293*PRG!B$4)+(E293*PRG!C$4)+(' Scope 1'!F293*PRG!D$4))/1000000</f>
        <v>0</v>
      </c>
      <c r="I293" s="55"/>
      <c r="J293" s="56"/>
    </row>
    <row r="294" spans="2:10" x14ac:dyDescent="0.35">
      <c r="B294" s="432" t="s">
        <v>179</v>
      </c>
      <c r="C294" s="431">
        <f>Données!P198</f>
        <v>0</v>
      </c>
      <c r="D294" s="5">
        <f>$C294*FE!C$45</f>
        <v>0</v>
      </c>
      <c r="E294" s="5">
        <f>$C294*FE!D$45</f>
        <v>0</v>
      </c>
      <c r="F294" s="5">
        <f>$C294*FE!E$45</f>
        <v>0</v>
      </c>
      <c r="G294" s="5" t="s">
        <v>8</v>
      </c>
      <c r="H294" s="5">
        <f>((D294*PRG!B$4)+(E294*PRG!C$4)+(' Scope 1'!F294*PRG!D$4))/1000000</f>
        <v>0</v>
      </c>
      <c r="I294" s="55"/>
      <c r="J294" s="56"/>
    </row>
    <row r="295" spans="2:10" x14ac:dyDescent="0.35">
      <c r="B295" s="432" t="s">
        <v>180</v>
      </c>
      <c r="C295" s="431">
        <f>Données!P199</f>
        <v>0</v>
      </c>
      <c r="D295" s="5">
        <f>$C295*FE!C$45</f>
        <v>0</v>
      </c>
      <c r="E295" s="5">
        <f>$C295*FE!D$45</f>
        <v>0</v>
      </c>
      <c r="F295" s="5">
        <f>$C295*FE!E$45</f>
        <v>0</v>
      </c>
      <c r="G295" s="5" t="s">
        <v>8</v>
      </c>
      <c r="H295" s="5">
        <f>((D295*PRG!B$4)+(E295*PRG!C$4)+(' Scope 1'!F295*PRG!D$4))/1000000</f>
        <v>0</v>
      </c>
      <c r="I295" s="55"/>
      <c r="J295" s="56"/>
    </row>
    <row r="296" spans="2:10" x14ac:dyDescent="0.35">
      <c r="B296" s="435" t="s">
        <v>181</v>
      </c>
      <c r="C296" s="434">
        <f>SUM(C297:C300)</f>
        <v>0</v>
      </c>
      <c r="D296" s="434">
        <f t="shared" ref="D296:H296" si="4">SUM(D297:D300)</f>
        <v>0</v>
      </c>
      <c r="E296" s="434">
        <f t="shared" si="4"/>
        <v>0</v>
      </c>
      <c r="F296" s="434">
        <f t="shared" si="4"/>
        <v>0</v>
      </c>
      <c r="G296" s="434">
        <f t="shared" si="4"/>
        <v>0</v>
      </c>
      <c r="H296" s="434">
        <f t="shared" si="4"/>
        <v>0</v>
      </c>
      <c r="I296" s="55"/>
      <c r="J296" s="56"/>
    </row>
    <row r="297" spans="2:10" x14ac:dyDescent="0.35">
      <c r="B297" s="37" t="s">
        <v>182</v>
      </c>
      <c r="C297" s="431">
        <f>Données!P200</f>
        <v>0</v>
      </c>
      <c r="D297" s="5">
        <f>$C297*FE!C$45</f>
        <v>0</v>
      </c>
      <c r="E297" s="5">
        <f>$C297*FE!D$45</f>
        <v>0</v>
      </c>
      <c r="F297" s="5">
        <f>$C297*FE!E$45</f>
        <v>0</v>
      </c>
      <c r="G297" s="5" t="s">
        <v>8</v>
      </c>
      <c r="H297" s="5">
        <f>((D297*PRG!B$4)+(E297*PRG!C$4)+(' Scope 1'!F297*PRG!D$4))/1000000</f>
        <v>0</v>
      </c>
      <c r="I297" s="55"/>
      <c r="J297" s="56"/>
    </row>
    <row r="298" spans="2:10" x14ac:dyDescent="0.35">
      <c r="B298" s="37" t="s">
        <v>183</v>
      </c>
      <c r="C298" s="431">
        <f>Données!P201</f>
        <v>0</v>
      </c>
      <c r="D298" s="5">
        <f>$C298*FE!C$45</f>
        <v>0</v>
      </c>
      <c r="E298" s="5">
        <f>$C298*FE!D$45</f>
        <v>0</v>
      </c>
      <c r="F298" s="5">
        <f>$C298*FE!E$45</f>
        <v>0</v>
      </c>
      <c r="G298" s="5" t="s">
        <v>8</v>
      </c>
      <c r="H298" s="5">
        <f>((D298*PRG!B$4)+(E298*PRG!C$4)+(' Scope 1'!F298*PRG!D$4))/1000000</f>
        <v>0</v>
      </c>
      <c r="I298" s="55"/>
      <c r="J298" s="56"/>
    </row>
    <row r="299" spans="2:10" x14ac:dyDescent="0.35">
      <c r="B299" s="432" t="s">
        <v>184</v>
      </c>
      <c r="C299" s="431">
        <f>Données!P202</f>
        <v>0</v>
      </c>
      <c r="D299" s="5">
        <f>$C299*FE!C$45</f>
        <v>0</v>
      </c>
      <c r="E299" s="5">
        <f>$C299*FE!D$45</f>
        <v>0</v>
      </c>
      <c r="F299" s="5">
        <f>$C299*FE!E$45</f>
        <v>0</v>
      </c>
      <c r="G299" s="5" t="s">
        <v>8</v>
      </c>
      <c r="H299" s="5">
        <f>((D299*PRG!B$4)+(E299*PRG!C$4)+(' Scope 1'!F299*PRG!D$4))/1000000</f>
        <v>0</v>
      </c>
      <c r="I299" s="55"/>
      <c r="J299" s="56"/>
    </row>
    <row r="300" spans="2:10" x14ac:dyDescent="0.35">
      <c r="B300" s="432" t="s">
        <v>185</v>
      </c>
      <c r="C300" s="431">
        <f>Données!P203</f>
        <v>0</v>
      </c>
      <c r="D300" s="5">
        <f>$C300*FE!C$45</f>
        <v>0</v>
      </c>
      <c r="E300" s="5">
        <f>$C300*FE!D$45</f>
        <v>0</v>
      </c>
      <c r="F300" s="5">
        <f>$C300*FE!E$45</f>
        <v>0</v>
      </c>
      <c r="G300" s="5" t="s">
        <v>8</v>
      </c>
      <c r="H300" s="5">
        <f>((D300*PRG!B$4)+(E300*PRG!C$4)+(' Scope 1'!F300*PRG!D$4))/1000000</f>
        <v>0</v>
      </c>
      <c r="I300" s="55"/>
      <c r="J300" s="56"/>
    </row>
    <row r="301" spans="2:10" x14ac:dyDescent="0.35">
      <c r="B301" s="435" t="s">
        <v>186</v>
      </c>
      <c r="C301" s="434">
        <f t="shared" ref="C301:H301" si="5">SUM(C302:C310)</f>
        <v>0</v>
      </c>
      <c r="D301" s="434">
        <f t="shared" si="5"/>
        <v>0</v>
      </c>
      <c r="E301" s="434">
        <f t="shared" si="5"/>
        <v>0</v>
      </c>
      <c r="F301" s="434">
        <f t="shared" si="5"/>
        <v>0</v>
      </c>
      <c r="G301" s="434">
        <f t="shared" si="5"/>
        <v>0</v>
      </c>
      <c r="H301" s="434">
        <f t="shared" si="5"/>
        <v>0</v>
      </c>
      <c r="I301" s="55"/>
      <c r="J301" s="56"/>
    </row>
    <row r="302" spans="2:10" x14ac:dyDescent="0.35">
      <c r="B302" s="432" t="s">
        <v>187</v>
      </c>
      <c r="C302" s="431">
        <f>Données!P204</f>
        <v>0</v>
      </c>
      <c r="D302" s="5">
        <f>$C302*FE!C$45</f>
        <v>0</v>
      </c>
      <c r="E302" s="5">
        <f>$C302*FE!D$45</f>
        <v>0</v>
      </c>
      <c r="F302" s="5">
        <f>$C302*FE!E$45</f>
        <v>0</v>
      </c>
      <c r="G302" s="5" t="s">
        <v>8</v>
      </c>
      <c r="H302" s="5">
        <f>((D302*PRG!B$4)+(E302*PRG!C$4)+(' Scope 1'!F302*PRG!D$4))/1000000</f>
        <v>0</v>
      </c>
      <c r="I302" s="55"/>
      <c r="J302" s="56"/>
    </row>
    <row r="303" spans="2:10" x14ac:dyDescent="0.35">
      <c r="B303" s="88" t="s">
        <v>188</v>
      </c>
      <c r="C303" s="431">
        <f>Données!P205</f>
        <v>0</v>
      </c>
      <c r="D303" s="5">
        <f>$C303*FE!C$45</f>
        <v>0</v>
      </c>
      <c r="E303" s="5">
        <f>$C303*FE!D$45</f>
        <v>0</v>
      </c>
      <c r="F303" s="5">
        <f>$C303*FE!E$45</f>
        <v>0</v>
      </c>
      <c r="G303" s="5" t="s">
        <v>8</v>
      </c>
      <c r="H303" s="5">
        <f>((D303*PRG!B$4)+(E303*PRG!C$4)+(' Scope 1'!F303*PRG!D$4))/1000000</f>
        <v>0</v>
      </c>
      <c r="I303" s="55"/>
      <c r="J303" s="56"/>
    </row>
    <row r="304" spans="2:10" x14ac:dyDescent="0.35">
      <c r="B304" s="88" t="s">
        <v>189</v>
      </c>
      <c r="C304" s="431">
        <f>Données!P206</f>
        <v>0</v>
      </c>
      <c r="D304" s="5">
        <f>$C304*FE!C$45</f>
        <v>0</v>
      </c>
      <c r="E304" s="5">
        <f>D304*FE!D$45</f>
        <v>0</v>
      </c>
      <c r="F304" s="5">
        <f>E304*FE!E$45</f>
        <v>0</v>
      </c>
      <c r="G304" s="5" t="s">
        <v>8</v>
      </c>
      <c r="H304" s="5">
        <f>((D304*PRG!B$4)+(E304*PRG!C$4)+(' Scope 1'!F304*PRG!D$4))/1000000</f>
        <v>0</v>
      </c>
      <c r="I304" s="55"/>
      <c r="J304" s="56"/>
    </row>
    <row r="305" spans="2:10" x14ac:dyDescent="0.35">
      <c r="B305" s="88" t="s">
        <v>190</v>
      </c>
      <c r="C305" s="431">
        <f>Données!P207</f>
        <v>0</v>
      </c>
      <c r="D305" s="5">
        <f>$C305*FE!C$45</f>
        <v>0</v>
      </c>
      <c r="E305" s="5">
        <f>$C305*FE!D$45</f>
        <v>0</v>
      </c>
      <c r="F305" s="5">
        <f>$C305*FE!E$45</f>
        <v>0</v>
      </c>
      <c r="G305" s="5" t="s">
        <v>8</v>
      </c>
      <c r="H305" s="5">
        <f>((D305*PRG!B$4)+(E305*PRG!C$4)+(' Scope 1'!F305*PRG!D$4))/1000000</f>
        <v>0</v>
      </c>
      <c r="I305" s="55"/>
      <c r="J305" s="56"/>
    </row>
    <row r="306" spans="2:10" x14ac:dyDescent="0.35">
      <c r="B306" s="37" t="s">
        <v>191</v>
      </c>
      <c r="C306" s="431">
        <f>Données!P208</f>
        <v>0</v>
      </c>
      <c r="D306" s="5">
        <f>$C306*FE!C$45</f>
        <v>0</v>
      </c>
      <c r="E306" s="5">
        <f>$C306*FE!D$45</f>
        <v>0</v>
      </c>
      <c r="F306" s="5">
        <f>$C306*FE!E$45</f>
        <v>0</v>
      </c>
      <c r="G306" s="5" t="s">
        <v>8</v>
      </c>
      <c r="H306" s="5">
        <f>((D306*PRG!B$4)+(E306*PRG!C$4)+(' Scope 1'!F306*PRG!D$4))/1000000</f>
        <v>0</v>
      </c>
      <c r="I306" s="55"/>
      <c r="J306" s="56"/>
    </row>
    <row r="307" spans="2:10" x14ac:dyDescent="0.35">
      <c r="B307" s="37" t="s">
        <v>192</v>
      </c>
      <c r="C307" s="431">
        <f>Données!P209</f>
        <v>0</v>
      </c>
      <c r="D307" s="5">
        <f>$C307*FE!C$45</f>
        <v>0</v>
      </c>
      <c r="E307" s="5">
        <f>$C307*FE!D$45</f>
        <v>0</v>
      </c>
      <c r="F307" s="5">
        <f>$C307*FE!E$45</f>
        <v>0</v>
      </c>
      <c r="G307" s="5" t="s">
        <v>8</v>
      </c>
      <c r="H307" s="5">
        <f>((D307*PRG!B$4)+(E307*PRG!C$4)+(' Scope 1'!F307*PRG!D$4))/1000000</f>
        <v>0</v>
      </c>
      <c r="I307" s="55"/>
      <c r="J307" s="56"/>
    </row>
    <row r="308" spans="2:10" x14ac:dyDescent="0.35">
      <c r="B308" s="37" t="s">
        <v>193</v>
      </c>
      <c r="C308" s="431">
        <f>Données!P210</f>
        <v>0</v>
      </c>
      <c r="D308" s="5">
        <f>$C308*FE!C$45</f>
        <v>0</v>
      </c>
      <c r="E308" s="5">
        <f>$C308*FE!D$45</f>
        <v>0</v>
      </c>
      <c r="F308" s="5">
        <f>$C308*FE!E$45</f>
        <v>0</v>
      </c>
      <c r="G308" s="5" t="s">
        <v>8</v>
      </c>
      <c r="H308" s="5">
        <f>((D308*PRG!B$4)+(E308*PRG!C$4)+(' Scope 1'!F308*PRG!D$4))/1000000</f>
        <v>0</v>
      </c>
      <c r="I308" s="55"/>
      <c r="J308" s="56"/>
    </row>
    <row r="309" spans="2:10" x14ac:dyDescent="0.35">
      <c r="B309" s="37" t="s">
        <v>194</v>
      </c>
      <c r="C309" s="431">
        <f>Données!P211</f>
        <v>0</v>
      </c>
      <c r="D309" s="5">
        <f>$C309*FE!C$45</f>
        <v>0</v>
      </c>
      <c r="E309" s="5">
        <f>$C309*FE!D$45</f>
        <v>0</v>
      </c>
      <c r="F309" s="5">
        <f>$C309*FE!E$45</f>
        <v>0</v>
      </c>
      <c r="G309" s="5" t="s">
        <v>8</v>
      </c>
      <c r="H309" s="5">
        <f>((D309*PRG!B$4)+(E309*PRG!C$4)+(' Scope 1'!F309*PRG!D$4))/1000000</f>
        <v>0</v>
      </c>
      <c r="I309" s="55"/>
      <c r="J309" s="56"/>
    </row>
    <row r="310" spans="2:10" x14ac:dyDescent="0.35">
      <c r="B310" s="37" t="s">
        <v>195</v>
      </c>
      <c r="C310" s="431">
        <f>Données!P212</f>
        <v>0</v>
      </c>
      <c r="D310" s="5">
        <f>$C310*FE!C$45</f>
        <v>0</v>
      </c>
      <c r="E310" s="5">
        <f>$C310*FE!D$45</f>
        <v>0</v>
      </c>
      <c r="F310" s="5">
        <f>$C310*FE!E$45</f>
        <v>0</v>
      </c>
      <c r="G310" s="5" t="s">
        <v>8</v>
      </c>
      <c r="H310" s="5">
        <f>((D310*PRG!B$4)+(E310*PRG!C$4)+(' Scope 1'!F310*PRG!D$4))/1000000</f>
        <v>0</v>
      </c>
      <c r="I310" s="55"/>
      <c r="J310" s="56"/>
    </row>
    <row r="311" spans="2:10" x14ac:dyDescent="0.35">
      <c r="B311" s="435" t="s">
        <v>196</v>
      </c>
      <c r="C311" s="444">
        <f>SUM(C312:C313)</f>
        <v>0</v>
      </c>
      <c r="D311" s="444">
        <f t="shared" ref="D311:G311" si="6">SUM(D312:D313)</f>
        <v>0</v>
      </c>
      <c r="E311" s="444">
        <f t="shared" si="6"/>
        <v>0</v>
      </c>
      <c r="F311" s="444">
        <f t="shared" si="6"/>
        <v>0</v>
      </c>
      <c r="G311" s="444">
        <f t="shared" si="6"/>
        <v>0</v>
      </c>
      <c r="H311" s="444">
        <f>SUM(H312:H313)</f>
        <v>0</v>
      </c>
      <c r="I311" s="55"/>
      <c r="J311" s="56"/>
    </row>
    <row r="312" spans="2:10" x14ac:dyDescent="0.35">
      <c r="B312" s="432" t="s">
        <v>197</v>
      </c>
      <c r="C312" s="443">
        <f>Données!P214</f>
        <v>0</v>
      </c>
      <c r="D312" s="5">
        <f>$C312*FE!C$45</f>
        <v>0</v>
      </c>
      <c r="E312" s="5">
        <f>$C312*FE!D$45</f>
        <v>0</v>
      </c>
      <c r="F312" s="5">
        <f>$C312*FE!E$45</f>
        <v>0</v>
      </c>
      <c r="G312" s="5" t="s">
        <v>8</v>
      </c>
      <c r="H312" s="5">
        <f>((D312*PRG!B$4)+(E312*PRG!C$4)+(' Scope 1'!F312*PRG!D$4))/1000000</f>
        <v>0</v>
      </c>
      <c r="I312" s="55"/>
      <c r="J312" s="56"/>
    </row>
    <row r="313" spans="2:10" x14ac:dyDescent="0.35">
      <c r="B313" s="432" t="s">
        <v>66</v>
      </c>
      <c r="C313" s="443">
        <f>Données!P215</f>
        <v>0</v>
      </c>
      <c r="D313" s="5">
        <f>$C313*FE!C$45</f>
        <v>0</v>
      </c>
      <c r="E313" s="5">
        <f>$C313*FE!D$45</f>
        <v>0</v>
      </c>
      <c r="F313" s="5">
        <f>$C313*FE!E$45</f>
        <v>0</v>
      </c>
      <c r="G313" s="5" t="s">
        <v>8</v>
      </c>
      <c r="H313" s="5">
        <f>((D313*PRG!B$4)+(E313*PRG!C$4)+(' Scope 1'!F313*PRG!D$4))/1000000</f>
        <v>0</v>
      </c>
      <c r="I313" s="55"/>
      <c r="J313" s="56"/>
    </row>
    <row r="314" spans="2:10" ht="16.5" x14ac:dyDescent="0.35">
      <c r="B314" s="663" t="s">
        <v>98</v>
      </c>
      <c r="C314" s="665" t="s">
        <v>164</v>
      </c>
      <c r="D314" s="667" t="s">
        <v>100</v>
      </c>
      <c r="E314" s="668"/>
      <c r="F314" s="668"/>
      <c r="G314" s="669"/>
      <c r="H314" s="430" t="s">
        <v>101</v>
      </c>
      <c r="I314" s="55"/>
      <c r="J314" s="56"/>
    </row>
    <row r="315" spans="2:10" ht="31" x14ac:dyDescent="0.35">
      <c r="B315" s="664"/>
      <c r="C315" s="666"/>
      <c r="D315" s="311" t="s">
        <v>102</v>
      </c>
      <c r="E315" s="311" t="s">
        <v>103</v>
      </c>
      <c r="F315" s="311" t="s">
        <v>104</v>
      </c>
      <c r="G315" s="311" t="s">
        <v>5</v>
      </c>
      <c r="H315" s="52" t="s">
        <v>105</v>
      </c>
      <c r="I315" s="55"/>
      <c r="J315" s="56"/>
    </row>
    <row r="316" spans="2:10" x14ac:dyDescent="0.35">
      <c r="B316" s="57" t="s">
        <v>59</v>
      </c>
      <c r="C316" s="96"/>
      <c r="D316" s="96"/>
      <c r="E316" s="96"/>
      <c r="F316" s="96"/>
      <c r="G316" s="96"/>
      <c r="H316" s="96"/>
      <c r="I316" s="55"/>
      <c r="J316" s="56"/>
    </row>
    <row r="317" spans="2:10" ht="16.5" x14ac:dyDescent="0.35">
      <c r="B317" s="37" t="s">
        <v>107</v>
      </c>
      <c r="C317" s="91">
        <f>Données!P156</f>
        <v>0</v>
      </c>
      <c r="D317" s="5">
        <f>C317*FE!C6</f>
        <v>0</v>
      </c>
      <c r="E317" s="5">
        <f>C317*FE!D6</f>
        <v>0</v>
      </c>
      <c r="F317" s="5">
        <f>C317*FE!E6</f>
        <v>0</v>
      </c>
      <c r="G317" s="5" t="s">
        <v>8</v>
      </c>
      <c r="H317" s="5">
        <f>((D317*PRG!B$4)+(E317*PRG!C$4)+(F317*PRG!D$4))/1000000</f>
        <v>0</v>
      </c>
      <c r="I317" s="55"/>
      <c r="J317" s="56"/>
    </row>
    <row r="318" spans="2:10" x14ac:dyDescent="0.35">
      <c r="B318" s="37" t="s">
        <v>198</v>
      </c>
      <c r="C318" s="91">
        <f>Données!P157</f>
        <v>0</v>
      </c>
      <c r="D318" s="5">
        <f>C318*FE!C87</f>
        <v>0</v>
      </c>
      <c r="E318" s="5">
        <f>C318*FE!D87</f>
        <v>0</v>
      </c>
      <c r="F318" s="5">
        <f>C318*FE!E87</f>
        <v>0</v>
      </c>
      <c r="G318" s="5" t="s">
        <v>8</v>
      </c>
      <c r="H318" s="5">
        <f>((D318*PRG!B$4)+(E318*PRG!C$4)+(F318*PRG!D$4))/1000000</f>
        <v>0</v>
      </c>
      <c r="I318" s="55"/>
      <c r="J318" s="56"/>
    </row>
    <row r="319" spans="2:10" x14ac:dyDescent="0.35">
      <c r="B319" s="37" t="s">
        <v>125</v>
      </c>
      <c r="C319" s="91">
        <f>Données!P158</f>
        <v>0</v>
      </c>
      <c r="D319" s="5">
        <f>C319*FE!C10</f>
        <v>0</v>
      </c>
      <c r="E319" s="5">
        <f>C319*FE!D10</f>
        <v>0</v>
      </c>
      <c r="F319" s="5">
        <f>C319*FE!E10</f>
        <v>0</v>
      </c>
      <c r="G319" s="5" t="s">
        <v>8</v>
      </c>
      <c r="H319" s="5">
        <f>((D319*PRG!B$4)+(E319*PRG!C$4)+(F319*PRG!D$4))/1000000</f>
        <v>0</v>
      </c>
      <c r="I319" s="55"/>
      <c r="J319" s="56"/>
    </row>
    <row r="320" spans="2:10" ht="67.5" customHeight="1" thickBot="1" x14ac:dyDescent="0.4">
      <c r="B320" s="676" t="s">
        <v>199</v>
      </c>
      <c r="C320" s="677"/>
      <c r="D320" s="96"/>
      <c r="E320" s="96"/>
      <c r="F320" s="96"/>
      <c r="G320" s="96"/>
      <c r="H320" s="96"/>
      <c r="I320" s="55"/>
      <c r="J320" s="56"/>
    </row>
    <row r="321" spans="2:10" ht="21" x14ac:dyDescent="0.5">
      <c r="B321" s="678" t="s">
        <v>200</v>
      </c>
      <c r="C321" s="679"/>
      <c r="D321" s="679"/>
      <c r="E321" s="679"/>
      <c r="F321" s="679"/>
      <c r="G321" s="679"/>
      <c r="H321" s="680"/>
      <c r="I321" s="55"/>
      <c r="J321" s="56"/>
    </row>
    <row r="322" spans="2:10" ht="16.5" x14ac:dyDescent="0.35">
      <c r="B322" s="658" t="s">
        <v>98</v>
      </c>
      <c r="C322" s="659" t="s">
        <v>99</v>
      </c>
      <c r="D322" s="660" t="s">
        <v>201</v>
      </c>
      <c r="E322" s="661"/>
      <c r="F322" s="661"/>
      <c r="G322" s="662"/>
      <c r="H322" s="52" t="s">
        <v>101</v>
      </c>
      <c r="I322" s="55"/>
      <c r="J322" s="56"/>
    </row>
    <row r="323" spans="2:10" ht="31" x14ac:dyDescent="0.35">
      <c r="B323" s="658"/>
      <c r="C323" s="659"/>
      <c r="D323" s="52" t="s">
        <v>134</v>
      </c>
      <c r="E323" s="52" t="s">
        <v>103</v>
      </c>
      <c r="F323" s="52" t="s">
        <v>104</v>
      </c>
      <c r="G323" s="52" t="s">
        <v>5</v>
      </c>
      <c r="H323" s="52" t="s">
        <v>105</v>
      </c>
      <c r="I323" s="55"/>
      <c r="J323" s="56"/>
    </row>
    <row r="324" spans="2:10" x14ac:dyDescent="0.35">
      <c r="B324" s="50" t="s">
        <v>93</v>
      </c>
      <c r="C324" s="96"/>
      <c r="D324" s="96"/>
      <c r="E324" s="96"/>
      <c r="F324" s="96"/>
      <c r="G324" s="96"/>
      <c r="H324" s="96"/>
      <c r="I324" s="55"/>
      <c r="J324" s="56"/>
    </row>
    <row r="325" spans="2:10" x14ac:dyDescent="0.35">
      <c r="B325" s="58" t="s">
        <v>85</v>
      </c>
      <c r="C325" s="113"/>
      <c r="D325" s="223">
        <f>D326+D327+D328</f>
        <v>0</v>
      </c>
      <c r="E325" s="223">
        <f>SUM(E326:E329)</f>
        <v>0</v>
      </c>
      <c r="F325" s="223">
        <f>SUM(F326:F329)</f>
        <v>0</v>
      </c>
      <c r="G325" s="223"/>
      <c r="H325" s="223">
        <f>((D325*PRG!B$4)+(E325*PRG!C$4)+(F325*PRG!D$4))/1000000</f>
        <v>0</v>
      </c>
      <c r="I325" s="55"/>
      <c r="J325" s="56"/>
    </row>
    <row r="326" spans="2:10" ht="16.5" x14ac:dyDescent="0.35">
      <c r="B326" s="37" t="s">
        <v>107</v>
      </c>
      <c r="C326" s="5">
        <f>Données!P162</f>
        <v>0</v>
      </c>
      <c r="D326" s="5">
        <f>$C326*FE!C6</f>
        <v>0</v>
      </c>
      <c r="E326" s="5">
        <f>$C326*FE!D6</f>
        <v>0</v>
      </c>
      <c r="F326" s="5">
        <f>$C326*FE!E6</f>
        <v>0</v>
      </c>
      <c r="G326" s="5" t="s">
        <v>8</v>
      </c>
      <c r="H326" s="5">
        <f>((D326*PRG!B$4)+(E326*PRG!C$4)+(F326*PRG!D$4))/1000000</f>
        <v>0</v>
      </c>
      <c r="I326" s="55"/>
      <c r="J326" s="56"/>
    </row>
    <row r="327" spans="2:10" x14ac:dyDescent="0.35">
      <c r="B327" s="37" t="s">
        <v>202</v>
      </c>
      <c r="C327" s="5">
        <f>Données!P163</f>
        <v>0</v>
      </c>
      <c r="D327" s="5">
        <f>$C327*FE!C9</f>
        <v>0</v>
      </c>
      <c r="E327" s="5">
        <f>$C327*FE!D9</f>
        <v>0</v>
      </c>
      <c r="F327" s="5">
        <f>$C327*FE!E9</f>
        <v>0</v>
      </c>
      <c r="G327" s="5" t="s">
        <v>8</v>
      </c>
      <c r="H327" s="5">
        <f>((D327*PRG!B$4)+(E327*PRG!C$4)+(F327*PRG!D$4))/1000000</f>
        <v>0</v>
      </c>
      <c r="I327" s="55"/>
      <c r="J327" s="56"/>
    </row>
    <row r="328" spans="2:10" x14ac:dyDescent="0.35">
      <c r="B328" s="37" t="s">
        <v>198</v>
      </c>
      <c r="C328" s="5">
        <f>Données!P164</f>
        <v>0</v>
      </c>
      <c r="D328" s="5">
        <f>$C328*FE!C8</f>
        <v>0</v>
      </c>
      <c r="E328" s="5">
        <f>$C328*FE!D8</f>
        <v>0</v>
      </c>
      <c r="F328" s="5">
        <f>$C328*FE!E8</f>
        <v>0</v>
      </c>
      <c r="G328" s="5" t="s">
        <v>8</v>
      </c>
      <c r="H328" s="5">
        <f>((D328*PRG!B$4)+(E328*PRG!C$4)+(F328*PRG!D$4))/1000000</f>
        <v>0</v>
      </c>
      <c r="I328" s="55"/>
      <c r="J328" s="56"/>
    </row>
    <row r="329" spans="2:10" ht="72.5" x14ac:dyDescent="0.35">
      <c r="B329" s="37" t="s">
        <v>203</v>
      </c>
      <c r="C329" s="237">
        <f>Données!P165</f>
        <v>0</v>
      </c>
      <c r="D329" s="321">
        <f>C329*FE!C83</f>
        <v>0</v>
      </c>
      <c r="E329" s="5">
        <f>C329*FE!D83</f>
        <v>0</v>
      </c>
      <c r="F329" s="5">
        <f>C329*FE!E83</f>
        <v>0</v>
      </c>
      <c r="G329" s="5" t="s">
        <v>8</v>
      </c>
      <c r="H329" s="5">
        <f>((E329*PRG!C$4)+(F329*PRG!D$4))/1000000</f>
        <v>0</v>
      </c>
      <c r="I329" s="322" t="s">
        <v>204</v>
      </c>
      <c r="J329" s="56"/>
    </row>
    <row r="330" spans="2:10" x14ac:dyDescent="0.35">
      <c r="B330" s="58" t="s">
        <v>205</v>
      </c>
      <c r="C330" s="223"/>
      <c r="D330" s="223">
        <f>SUM(D331:D334)</f>
        <v>0</v>
      </c>
      <c r="E330" s="223">
        <f>SUM(E331:E334)</f>
        <v>0</v>
      </c>
      <c r="F330" s="223">
        <f>SUM(F331:F334)</f>
        <v>0</v>
      </c>
      <c r="G330" s="223"/>
      <c r="H330" s="223">
        <f>((D330*PRG!B$4)+(E330*PRG!C$4)+(F330*PRG!D$4))/1000000</f>
        <v>0</v>
      </c>
      <c r="I330" s="55"/>
      <c r="J330" s="56"/>
    </row>
    <row r="331" spans="2:10" ht="16.5" x14ac:dyDescent="0.35">
      <c r="B331" s="37" t="s">
        <v>206</v>
      </c>
      <c r="C331" s="5">
        <f>Données!P166</f>
        <v>0</v>
      </c>
      <c r="D331" s="5">
        <f>C331*FE!C6</f>
        <v>0</v>
      </c>
      <c r="E331" s="5">
        <f>C331*FE!D6</f>
        <v>0</v>
      </c>
      <c r="F331" s="5">
        <f>C331*FE!E6</f>
        <v>0</v>
      </c>
      <c r="G331" s="5" t="s">
        <v>8</v>
      </c>
      <c r="H331" s="5">
        <f>((D331*PRG!B$4)+(E331*PRG!C$4)+(F331*PRG!D$4))/1000000</f>
        <v>0</v>
      </c>
      <c r="I331" s="55"/>
      <c r="J331" s="56"/>
    </row>
    <row r="332" spans="2:10" x14ac:dyDescent="0.35">
      <c r="B332" s="37" t="s">
        <v>207</v>
      </c>
      <c r="C332" s="5">
        <f>Données!P167</f>
        <v>0</v>
      </c>
      <c r="D332" s="5">
        <f>C332*FE!C87</f>
        <v>0</v>
      </c>
      <c r="E332" s="5">
        <f>C332*FE!D87</f>
        <v>0</v>
      </c>
      <c r="F332" s="5">
        <f>C332*FE!E87</f>
        <v>0</v>
      </c>
      <c r="G332" s="5" t="s">
        <v>8</v>
      </c>
      <c r="H332" s="5">
        <f>((D332*PRG!B$4)+(E332*PRG!C$4)+(F332*PRG!D$4))/1000000</f>
        <v>0</v>
      </c>
      <c r="I332" s="55"/>
      <c r="J332" s="56"/>
    </row>
    <row r="333" spans="2:10" x14ac:dyDescent="0.35">
      <c r="B333" s="37" t="s">
        <v>208</v>
      </c>
      <c r="C333" s="5">
        <f>Données!P168</f>
        <v>0</v>
      </c>
      <c r="D333" s="5">
        <f>C333*FE!C86</f>
        <v>0</v>
      </c>
      <c r="E333" s="5">
        <f>C333*FE!D86</f>
        <v>0</v>
      </c>
      <c r="F333" s="5">
        <f>C333*FE!E86</f>
        <v>0</v>
      </c>
      <c r="G333" s="5" t="s">
        <v>8</v>
      </c>
      <c r="H333" s="5">
        <f>((D333*PRG!B$4)+(E333*PRG!C$4)+(F333*PRG!D$4))/1000000</f>
        <v>0</v>
      </c>
      <c r="I333" s="55"/>
      <c r="J333" s="56"/>
    </row>
    <row r="334" spans="2:10" ht="19.5" customHeight="1" x14ac:dyDescent="0.35">
      <c r="B334" s="37" t="s">
        <v>209</v>
      </c>
      <c r="C334" s="5">
        <f>Données!P169</f>
        <v>0</v>
      </c>
      <c r="D334" s="5">
        <f>C334*FE!C9</f>
        <v>0</v>
      </c>
      <c r="E334" s="5">
        <f>C334*FE!D9</f>
        <v>0</v>
      </c>
      <c r="F334" s="5">
        <f>C334*FE!E9</f>
        <v>0</v>
      </c>
      <c r="G334" s="5" t="s">
        <v>8</v>
      </c>
      <c r="H334" s="5">
        <f>((D334*PRG!B$4)+(E334*PRG!C$4)+(F334*PRG!D$4))/1000000</f>
        <v>0</v>
      </c>
      <c r="I334" s="55"/>
      <c r="J334" s="56"/>
    </row>
    <row r="335" spans="2:10" ht="19.5" customHeight="1" x14ac:dyDescent="0.35">
      <c r="B335" s="664" t="s">
        <v>98</v>
      </c>
      <c r="C335" s="666" t="s">
        <v>164</v>
      </c>
      <c r="D335" s="670" t="s">
        <v>201</v>
      </c>
      <c r="E335" s="671"/>
      <c r="F335" s="671"/>
      <c r="G335" s="672"/>
      <c r="H335" s="311" t="s">
        <v>101</v>
      </c>
      <c r="I335" s="55"/>
      <c r="J335" s="56"/>
    </row>
    <row r="336" spans="2:10" ht="31" x14ac:dyDescent="0.35">
      <c r="B336" s="664"/>
      <c r="C336" s="666"/>
      <c r="D336" s="311" t="s">
        <v>102</v>
      </c>
      <c r="E336" s="311" t="s">
        <v>103</v>
      </c>
      <c r="F336" s="311" t="s">
        <v>104</v>
      </c>
      <c r="G336" s="311" t="s">
        <v>5</v>
      </c>
      <c r="H336" s="311" t="s">
        <v>105</v>
      </c>
      <c r="I336" s="55"/>
      <c r="J336" s="56"/>
    </row>
    <row r="337" spans="2:10" x14ac:dyDescent="0.35">
      <c r="B337" s="53" t="s">
        <v>210</v>
      </c>
      <c r="C337" s="113"/>
      <c r="D337" s="113"/>
      <c r="E337" s="113"/>
      <c r="F337" s="113"/>
      <c r="G337" s="113"/>
      <c r="H337" s="113"/>
      <c r="I337" s="55"/>
      <c r="J337" s="31"/>
    </row>
    <row r="338" spans="2:10" ht="16.5" x14ac:dyDescent="0.35">
      <c r="B338" s="664" t="s">
        <v>98</v>
      </c>
      <c r="C338" s="666" t="s">
        <v>164</v>
      </c>
      <c r="D338" s="670" t="s">
        <v>201</v>
      </c>
      <c r="E338" s="671"/>
      <c r="F338" s="671"/>
      <c r="G338" s="672"/>
      <c r="H338" s="311" t="s">
        <v>101</v>
      </c>
    </row>
    <row r="339" spans="2:10" x14ac:dyDescent="0.35">
      <c r="B339" s="664"/>
      <c r="C339" s="666"/>
      <c r="D339" s="311" t="s">
        <v>211</v>
      </c>
      <c r="E339" s="311" t="s">
        <v>212</v>
      </c>
      <c r="F339" s="311" t="s">
        <v>213</v>
      </c>
      <c r="G339" s="311" t="s">
        <v>5</v>
      </c>
      <c r="H339" s="311" t="s">
        <v>214</v>
      </c>
      <c r="I339" s="55"/>
      <c r="J339" s="31"/>
    </row>
    <row r="340" spans="2:10" x14ac:dyDescent="0.35">
      <c r="B340" s="37" t="s">
        <v>44</v>
      </c>
      <c r="C340" s="327"/>
      <c r="D340" s="5" t="s">
        <v>8</v>
      </c>
      <c r="E340" s="5">
        <f>Données!P172</f>
        <v>0</v>
      </c>
      <c r="F340" s="5" t="s">
        <v>8</v>
      </c>
      <c r="G340" s="5" t="s">
        <v>8</v>
      </c>
      <c r="H340" s="5">
        <f>E340*PRG!C4</f>
        <v>0</v>
      </c>
      <c r="I340" s="55"/>
      <c r="J340" s="31"/>
    </row>
    <row r="341" spans="2:10" x14ac:dyDescent="0.35">
      <c r="B341" s="37" t="s">
        <v>45</v>
      </c>
      <c r="C341" s="327"/>
      <c r="D341" s="5" t="s">
        <v>8</v>
      </c>
      <c r="E341" s="5">
        <f>Données!P173</f>
        <v>0</v>
      </c>
      <c r="F341" s="5">
        <f>Données!P174</f>
        <v>0</v>
      </c>
      <c r="G341" s="5" t="s">
        <v>8</v>
      </c>
      <c r="H341" s="5">
        <f>(E341*PRG!C4)+(F341*PRG!D4)</f>
        <v>0</v>
      </c>
      <c r="I341" s="55"/>
      <c r="J341" s="31"/>
    </row>
    <row r="342" spans="2:10" ht="15" customHeight="1" x14ac:dyDescent="0.35">
      <c r="B342" s="691" t="s">
        <v>98</v>
      </c>
      <c r="C342" s="691"/>
      <c r="D342" s="670" t="s">
        <v>201</v>
      </c>
      <c r="E342" s="671"/>
      <c r="F342" s="671"/>
      <c r="G342" s="672"/>
      <c r="H342" s="311" t="s">
        <v>101</v>
      </c>
      <c r="I342" s="55"/>
      <c r="J342" s="31"/>
    </row>
    <row r="343" spans="2:10" ht="16.5" x14ac:dyDescent="0.35">
      <c r="B343" s="692"/>
      <c r="C343" s="692"/>
      <c r="D343" s="311" t="s">
        <v>211</v>
      </c>
      <c r="E343" s="311" t="s">
        <v>212</v>
      </c>
      <c r="F343" s="311" t="s">
        <v>215</v>
      </c>
      <c r="G343" s="311" t="s">
        <v>5</v>
      </c>
      <c r="H343" s="311" t="s">
        <v>216</v>
      </c>
      <c r="I343" s="55"/>
      <c r="J343" s="31"/>
    </row>
    <row r="344" spans="2:10" x14ac:dyDescent="0.35">
      <c r="B344" s="47" t="s">
        <v>79</v>
      </c>
      <c r="C344" s="96"/>
      <c r="D344" s="96"/>
      <c r="E344" s="96"/>
      <c r="F344" s="96"/>
      <c r="G344" s="96"/>
      <c r="H344" s="96"/>
      <c r="I344" s="55"/>
      <c r="J344" s="31"/>
    </row>
    <row r="345" spans="2:10" x14ac:dyDescent="0.35">
      <c r="B345" s="37" t="s">
        <v>41</v>
      </c>
      <c r="C345" s="96"/>
      <c r="D345" s="226" t="s">
        <v>8</v>
      </c>
      <c r="E345" s="226" t="e">
        <f>Données!O177</f>
        <v>#VALUE!</v>
      </c>
      <c r="F345" s="226" t="e">
        <f>Données!P177</f>
        <v>#VALUE!</v>
      </c>
      <c r="G345" s="5" t="s">
        <v>8</v>
      </c>
      <c r="H345" s="226" t="e">
        <f>(E345*PRG!C4)+(F345*PRG!D4)</f>
        <v>#VALUE!</v>
      </c>
      <c r="I345" s="55"/>
      <c r="J345" s="31"/>
    </row>
    <row r="346" spans="2:10" x14ac:dyDescent="0.35">
      <c r="B346" s="37" t="s">
        <v>217</v>
      </c>
      <c r="C346" s="96"/>
      <c r="D346" s="226" t="s">
        <v>8</v>
      </c>
      <c r="E346" s="226" t="e">
        <f>Données!O178</f>
        <v>#VALUE!</v>
      </c>
      <c r="F346" s="226" t="e">
        <f>Données!P178</f>
        <v>#VALUE!</v>
      </c>
      <c r="G346" s="5" t="s">
        <v>8</v>
      </c>
      <c r="H346" s="226" t="e">
        <f>(E346*PRG!C4)+(F346*PRG!D4)</f>
        <v>#VALUE!</v>
      </c>
      <c r="I346" s="55"/>
      <c r="J346" s="31"/>
    </row>
    <row r="347" spans="2:10" ht="16.5" x14ac:dyDescent="0.35">
      <c r="B347" s="664" t="s">
        <v>98</v>
      </c>
      <c r="C347" s="664" t="s">
        <v>99</v>
      </c>
      <c r="D347" s="670" t="s">
        <v>201</v>
      </c>
      <c r="E347" s="671"/>
      <c r="F347" s="671"/>
      <c r="G347" s="672"/>
      <c r="H347" s="311" t="s">
        <v>101</v>
      </c>
      <c r="I347" s="55"/>
      <c r="J347" s="31"/>
    </row>
    <row r="348" spans="2:10" ht="31" x14ac:dyDescent="0.35">
      <c r="B348" s="664"/>
      <c r="C348" s="664"/>
      <c r="D348" s="311" t="s">
        <v>102</v>
      </c>
      <c r="E348" s="311" t="s">
        <v>103</v>
      </c>
      <c r="F348" s="311" t="s">
        <v>104</v>
      </c>
      <c r="G348" s="311" t="s">
        <v>5</v>
      </c>
      <c r="H348" s="311" t="s">
        <v>105</v>
      </c>
      <c r="I348" s="55"/>
      <c r="J348" s="31"/>
    </row>
    <row r="349" spans="2:10" x14ac:dyDescent="0.35">
      <c r="B349" s="47" t="s">
        <v>81</v>
      </c>
      <c r="C349" s="96"/>
      <c r="D349" s="96"/>
      <c r="E349" s="96"/>
      <c r="F349" s="96"/>
      <c r="G349" s="96"/>
      <c r="H349" s="96"/>
      <c r="I349" s="55"/>
      <c r="J349" s="31"/>
    </row>
    <row r="350" spans="2:10" x14ac:dyDescent="0.35">
      <c r="B350" s="37" t="s">
        <v>218</v>
      </c>
      <c r="C350" s="617">
        <f>Données!P181</f>
        <v>0</v>
      </c>
      <c r="D350" s="618">
        <f>C350*FE!C17</f>
        <v>0</v>
      </c>
      <c r="E350" s="618">
        <f>C350*FE!D17</f>
        <v>0</v>
      </c>
      <c r="F350" s="618">
        <f>C350*FE!E17</f>
        <v>0</v>
      </c>
      <c r="G350" s="618" t="s">
        <v>8</v>
      </c>
      <c r="H350" s="617">
        <f>((D350*PRG!B$4)+(E350*PRG!C$4)+(F350*PRG!D$4))/1000000</f>
        <v>0</v>
      </c>
      <c r="I350" s="55"/>
      <c r="J350" s="31"/>
    </row>
    <row r="351" spans="2:10" x14ac:dyDescent="0.35">
      <c r="B351" s="37" t="s">
        <v>219</v>
      </c>
      <c r="C351" s="617">
        <f>Données!P182</f>
        <v>0</v>
      </c>
      <c r="D351" s="618">
        <f>C351*FE!C37</f>
        <v>0</v>
      </c>
      <c r="E351" s="618">
        <f>C351*FE!D37</f>
        <v>0</v>
      </c>
      <c r="F351" s="618">
        <f>C351*FE!E37</f>
        <v>0</v>
      </c>
      <c r="G351" s="618" t="s">
        <v>8</v>
      </c>
      <c r="H351" s="617">
        <f>((D351*PRG!B$4)+(E351*PRG!C$4)+(F351*PRG!D$4))/1000000</f>
        <v>0</v>
      </c>
      <c r="I351" s="55"/>
      <c r="J351" s="31"/>
    </row>
    <row r="352" spans="2:10" ht="67.5" customHeight="1" x14ac:dyDescent="0.35">
      <c r="B352" s="688" t="s">
        <v>220</v>
      </c>
      <c r="C352" s="689"/>
      <c r="D352" s="114"/>
      <c r="E352" s="114"/>
      <c r="F352" s="114"/>
      <c r="G352" s="114"/>
      <c r="H352" s="114"/>
      <c r="I352" s="55"/>
      <c r="J352" s="31"/>
    </row>
    <row r="353" spans="2:10" ht="58.5" customHeight="1" x14ac:dyDescent="0.55000000000000004">
      <c r="B353" s="690" t="s">
        <v>221</v>
      </c>
      <c r="C353" s="690"/>
      <c r="D353" s="115"/>
      <c r="E353" s="115"/>
      <c r="F353" s="115"/>
      <c r="G353" s="115"/>
      <c r="H353" s="115"/>
      <c r="I353" s="55"/>
      <c r="J353" s="31"/>
    </row>
    <row r="354" spans="2:10" x14ac:dyDescent="0.35">
      <c r="B354" s="54"/>
      <c r="C354" s="116"/>
      <c r="D354" s="116"/>
      <c r="E354" s="116"/>
      <c r="F354" s="116"/>
      <c r="G354" s="116"/>
      <c r="H354" s="116"/>
      <c r="I354" s="30"/>
      <c r="J354" s="31"/>
    </row>
    <row r="355" spans="2:10" x14ac:dyDescent="0.35">
      <c r="B355" s="138" t="s">
        <v>222</v>
      </c>
      <c r="C355" s="116"/>
      <c r="D355" s="116"/>
      <c r="E355" s="116"/>
      <c r="F355" s="116"/>
      <c r="G355" s="116"/>
      <c r="H355" s="116"/>
      <c r="I355" s="30"/>
      <c r="J355" s="31"/>
    </row>
    <row r="356" spans="2:10" ht="68.25" customHeight="1" x14ac:dyDescent="0.35">
      <c r="B356" s="1" t="s">
        <v>223</v>
      </c>
      <c r="C356" s="135"/>
      <c r="D356" s="135"/>
      <c r="E356" s="135"/>
      <c r="F356" s="135"/>
      <c r="G356" s="135"/>
      <c r="H356" s="135"/>
      <c r="I356" s="135"/>
      <c r="J356" s="135"/>
    </row>
    <row r="357" spans="2:10" ht="15" customHeight="1" x14ac:dyDescent="0.35">
      <c r="B357" s="9"/>
      <c r="C357" s="135"/>
      <c r="D357" s="135"/>
      <c r="E357" s="135"/>
      <c r="F357" s="135"/>
      <c r="G357" s="135"/>
      <c r="H357" s="135"/>
      <c r="I357" s="135"/>
      <c r="J357" s="135"/>
    </row>
    <row r="358" spans="2:10" ht="15" customHeight="1" x14ac:dyDescent="0.35">
      <c r="B358" s="135"/>
      <c r="C358" s="135"/>
      <c r="D358" s="135"/>
      <c r="E358" s="135"/>
      <c r="F358" s="135"/>
      <c r="G358" s="135"/>
      <c r="H358" s="135"/>
      <c r="I358" s="135"/>
      <c r="J358" s="135"/>
    </row>
    <row r="367" spans="2:10" x14ac:dyDescent="0.35">
      <c r="B367" s="3"/>
    </row>
  </sheetData>
  <sheetProtection algorithmName="SHA-512" hashValue="6Ly/nAZwTnXdIuYrQ4atwC49rYRM0MXhmyB3KJmKo3Nute09ye0aYc3cCYU5vEd1jp+ChFTp/lCHAItz0ZbcVA==" saltValue="O1htdsnp1m7aZaEbAeSv6A==" spinCount="100000" sheet="1" formatCells="0" formatColumns="0" formatRows="0" insertColumns="0" insertRows="0" insertHyperlinks="0" deleteColumns="0" deleteRows="0" sort="0" autoFilter="0" pivotTables="0"/>
  <mergeCells count="117">
    <mergeCell ref="N17:V21"/>
    <mergeCell ref="B352:C352"/>
    <mergeCell ref="B353:C353"/>
    <mergeCell ref="B342:B343"/>
    <mergeCell ref="C342:C343"/>
    <mergeCell ref="D342:G342"/>
    <mergeCell ref="B347:B348"/>
    <mergeCell ref="C347:C348"/>
    <mergeCell ref="D347:G347"/>
    <mergeCell ref="B28:B29"/>
    <mergeCell ref="C28:C29"/>
    <mergeCell ref="D28:G28"/>
    <mergeCell ref="B37:B38"/>
    <mergeCell ref="C37:C38"/>
    <mergeCell ref="D37:G37"/>
    <mergeCell ref="B46:B47"/>
    <mergeCell ref="C46:C47"/>
    <mergeCell ref="D46:G46"/>
    <mergeCell ref="B19:B20"/>
    <mergeCell ref="C19:C20"/>
    <mergeCell ref="D19:G19"/>
    <mergeCell ref="B335:B336"/>
    <mergeCell ref="C335:C336"/>
    <mergeCell ref="D335:G335"/>
    <mergeCell ref="B338:B339"/>
    <mergeCell ref="C338:C339"/>
    <mergeCell ref="D338:G338"/>
    <mergeCell ref="C64:C65"/>
    <mergeCell ref="D64:G64"/>
    <mergeCell ref="B109:B110"/>
    <mergeCell ref="I1:J1"/>
    <mergeCell ref="B273:H273"/>
    <mergeCell ref="B320:C320"/>
    <mergeCell ref="B321:H321"/>
    <mergeCell ref="B322:B323"/>
    <mergeCell ref="C322:C323"/>
    <mergeCell ref="B2:H2"/>
    <mergeCell ref="B10:B11"/>
    <mergeCell ref="C10:C11"/>
    <mergeCell ref="D10:G10"/>
    <mergeCell ref="D322:G322"/>
    <mergeCell ref="I9:M9"/>
    <mergeCell ref="B262:B263"/>
    <mergeCell ref="C262:C263"/>
    <mergeCell ref="D262:G262"/>
    <mergeCell ref="B271:B272"/>
    <mergeCell ref="C271:C272"/>
    <mergeCell ref="D271:G271"/>
    <mergeCell ref="B314:B315"/>
    <mergeCell ref="C314:C315"/>
    <mergeCell ref="D314:G314"/>
    <mergeCell ref="C91:C92"/>
    <mergeCell ref="D91:G91"/>
    <mergeCell ref="B100:B101"/>
    <mergeCell ref="C100:C101"/>
    <mergeCell ref="D100:G100"/>
    <mergeCell ref="B55:B56"/>
    <mergeCell ref="B217:B218"/>
    <mergeCell ref="C217:C218"/>
    <mergeCell ref="D217:G217"/>
    <mergeCell ref="B145:B146"/>
    <mergeCell ref="C145:C146"/>
    <mergeCell ref="D145:G145"/>
    <mergeCell ref="B154:B155"/>
    <mergeCell ref="C154:C155"/>
    <mergeCell ref="D154:G154"/>
    <mergeCell ref="B127:B128"/>
    <mergeCell ref="C127:C128"/>
    <mergeCell ref="D127:G127"/>
    <mergeCell ref="B136:B137"/>
    <mergeCell ref="C136:C137"/>
    <mergeCell ref="D136:G136"/>
    <mergeCell ref="C55:C56"/>
    <mergeCell ref="D55:G55"/>
    <mergeCell ref="B64:B65"/>
    <mergeCell ref="B73:B74"/>
    <mergeCell ref="C73:C74"/>
    <mergeCell ref="D73:G73"/>
    <mergeCell ref="B82:B83"/>
    <mergeCell ref="C82:C83"/>
    <mergeCell ref="D82:G82"/>
    <mergeCell ref="C109:C110"/>
    <mergeCell ref="D109:G109"/>
    <mergeCell ref="B118:B119"/>
    <mergeCell ref="C118:C119"/>
    <mergeCell ref="D118:G118"/>
    <mergeCell ref="B91:B92"/>
    <mergeCell ref="B244:B245"/>
    <mergeCell ref="C244:C245"/>
    <mergeCell ref="D244:G244"/>
    <mergeCell ref="B190:B191"/>
    <mergeCell ref="C190:C191"/>
    <mergeCell ref="D190:G190"/>
    <mergeCell ref="B163:B164"/>
    <mergeCell ref="C163:C164"/>
    <mergeCell ref="D163:G163"/>
    <mergeCell ref="B172:B173"/>
    <mergeCell ref="C172:C173"/>
    <mergeCell ref="D172:G172"/>
    <mergeCell ref="B181:B182"/>
    <mergeCell ref="C181:C182"/>
    <mergeCell ref="D181:G181"/>
    <mergeCell ref="B253:B254"/>
    <mergeCell ref="C253:C254"/>
    <mergeCell ref="D253:G253"/>
    <mergeCell ref="B199:B200"/>
    <mergeCell ref="C199:C200"/>
    <mergeCell ref="D199:G199"/>
    <mergeCell ref="B208:B209"/>
    <mergeCell ref="C208:C209"/>
    <mergeCell ref="D208:G208"/>
    <mergeCell ref="D235:G235"/>
    <mergeCell ref="D226:G226"/>
    <mergeCell ref="B235:B236"/>
    <mergeCell ref="C235:C236"/>
    <mergeCell ref="B226:B227"/>
    <mergeCell ref="C226:C22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C383-8B3F-441C-AF3D-32A511B5FBB9}">
  <dimension ref="B1:F103"/>
  <sheetViews>
    <sheetView topLeftCell="A80" workbookViewId="0">
      <selection activeCell="B101" sqref="B101"/>
    </sheetView>
  </sheetViews>
  <sheetFormatPr baseColWidth="10" defaultColWidth="11.453125" defaultRowHeight="14.5" x14ac:dyDescent="0.35"/>
  <cols>
    <col min="2" max="2" width="87.7265625" bestFit="1" customWidth="1"/>
    <col min="3" max="3" width="23.7265625" style="2" customWidth="1"/>
    <col min="4" max="4" width="39.81640625" style="2" customWidth="1"/>
    <col min="5" max="5" width="11.453125" style="9"/>
    <col min="6" max="6" width="51.54296875" style="9" customWidth="1"/>
  </cols>
  <sheetData>
    <row r="1" spans="2:6" ht="19" thickBot="1" x14ac:dyDescent="0.4">
      <c r="E1" s="673"/>
      <c r="F1" s="673"/>
    </row>
    <row r="2" spans="2:6" ht="28.5" customHeight="1" x14ac:dyDescent="0.5">
      <c r="B2" s="697" t="s">
        <v>224</v>
      </c>
      <c r="C2" s="698"/>
      <c r="D2" s="699"/>
      <c r="E2" s="103"/>
      <c r="F2" s="103"/>
    </row>
    <row r="3" spans="2:6" s="2" customFormat="1" x14ac:dyDescent="0.35">
      <c r="B3" s="700" t="s">
        <v>98</v>
      </c>
      <c r="C3" s="701" t="s">
        <v>225</v>
      </c>
      <c r="D3" s="124" t="s">
        <v>226</v>
      </c>
      <c r="E3" s="104"/>
      <c r="F3" s="104"/>
    </row>
    <row r="4" spans="2:6" s="2" customFormat="1" x14ac:dyDescent="0.35">
      <c r="B4" s="700"/>
      <c r="C4" s="701"/>
      <c r="D4" s="124" t="s">
        <v>227</v>
      </c>
      <c r="E4" s="104"/>
      <c r="F4" s="104"/>
    </row>
    <row r="5" spans="2:6" s="2" customFormat="1" x14ac:dyDescent="0.35">
      <c r="B5" s="69" t="s">
        <v>57</v>
      </c>
      <c r="C5" s="125">
        <f>(C7+C9+C11+C13+C15+C17+C19+C21+C23+C25+C27+C29+C31+C33+C35+C37+C39+C41+C43+C45+C47+C49+C51+C53+C55+C57+C59+C61)</f>
        <v>0</v>
      </c>
      <c r="D5" s="125">
        <f>(D7+D9+D11+D13+D15+D17+D19+D21+D23+D25+D27+D29+D31+D33+D35+D37+D39+D41+D43+D45+D47+D49+D51+D53+D55+D57+D59+D61)</f>
        <v>0</v>
      </c>
      <c r="E5" s="104"/>
      <c r="F5" s="104"/>
    </row>
    <row r="6" spans="2:6" s="2" customFormat="1" x14ac:dyDescent="0.35">
      <c r="B6" s="72" t="s">
        <v>106</v>
      </c>
      <c r="C6" s="126"/>
      <c r="D6" s="127"/>
      <c r="E6" s="104"/>
      <c r="F6" s="104"/>
    </row>
    <row r="7" spans="2:6" s="2" customFormat="1" x14ac:dyDescent="0.35">
      <c r="B7" s="70" t="s">
        <v>228</v>
      </c>
      <c r="C7" s="117">
        <f>Données!O219</f>
        <v>0</v>
      </c>
      <c r="D7" s="118">
        <f>(C7*FE!F73)/1000000</f>
        <v>0</v>
      </c>
      <c r="E7" s="104"/>
      <c r="F7" s="104"/>
    </row>
    <row r="8" spans="2:6" s="2" customFormat="1" x14ac:dyDescent="0.35">
      <c r="B8" s="73" t="s">
        <v>123</v>
      </c>
      <c r="C8" s="119"/>
      <c r="D8" s="120"/>
      <c r="E8" s="104"/>
      <c r="F8" s="104"/>
    </row>
    <row r="9" spans="2:6" s="2" customFormat="1" ht="58" x14ac:dyDescent="0.35">
      <c r="B9" s="70" t="s">
        <v>228</v>
      </c>
      <c r="C9" s="117"/>
      <c r="D9" s="118"/>
      <c r="E9" s="494" t="s">
        <v>229</v>
      </c>
      <c r="F9" s="104"/>
    </row>
    <row r="10" spans="2:6" s="2" customFormat="1" x14ac:dyDescent="0.35">
      <c r="B10" s="73" t="s">
        <v>131</v>
      </c>
      <c r="C10" s="119"/>
      <c r="D10" s="120"/>
      <c r="E10" s="104"/>
      <c r="F10" s="104"/>
    </row>
    <row r="11" spans="2:6" s="2" customFormat="1" x14ac:dyDescent="0.35">
      <c r="B11" s="70" t="s">
        <v>228</v>
      </c>
      <c r="C11" s="117">
        <f>Données!O221</f>
        <v>0</v>
      </c>
      <c r="D11" s="118">
        <f>(C11*FE!F73)/1000000</f>
        <v>0</v>
      </c>
      <c r="E11" s="104"/>
      <c r="F11" s="104"/>
    </row>
    <row r="12" spans="2:6" s="2" customFormat="1" x14ac:dyDescent="0.35">
      <c r="B12" s="74" t="s">
        <v>133</v>
      </c>
      <c r="C12" s="119"/>
      <c r="D12" s="120"/>
      <c r="E12" s="104"/>
      <c r="F12" s="104"/>
    </row>
    <row r="13" spans="2:6" s="2" customFormat="1" x14ac:dyDescent="0.35">
      <c r="B13" s="70" t="s">
        <v>228</v>
      </c>
      <c r="C13" s="117">
        <f>Données!O222</f>
        <v>0</v>
      </c>
      <c r="D13" s="118">
        <f>(C13*FE!F73)/1000000</f>
        <v>0</v>
      </c>
      <c r="E13" s="104"/>
      <c r="F13" s="104"/>
    </row>
    <row r="14" spans="2:6" s="2" customFormat="1" x14ac:dyDescent="0.35">
      <c r="B14" s="74" t="s">
        <v>135</v>
      </c>
      <c r="C14" s="119"/>
      <c r="D14" s="120"/>
      <c r="E14" s="104"/>
      <c r="F14" s="104"/>
    </row>
    <row r="15" spans="2:6" s="2" customFormat="1" x14ac:dyDescent="0.35">
      <c r="B15" s="70" t="s">
        <v>228</v>
      </c>
      <c r="C15" s="117">
        <f>Données!O223</f>
        <v>0</v>
      </c>
      <c r="D15" s="118">
        <f>(C15*FE!F73)/1000000</f>
        <v>0</v>
      </c>
      <c r="E15" s="104"/>
      <c r="F15" s="104"/>
    </row>
    <row r="16" spans="2:6" s="2" customFormat="1" x14ac:dyDescent="0.35">
      <c r="B16" s="74" t="s">
        <v>136</v>
      </c>
      <c r="C16" s="119"/>
      <c r="D16" s="120"/>
      <c r="E16" s="104"/>
      <c r="F16" s="104"/>
    </row>
    <row r="17" spans="2:6" s="2" customFormat="1" x14ac:dyDescent="0.35">
      <c r="B17" s="70" t="s">
        <v>228</v>
      </c>
      <c r="C17" s="117">
        <f>Données!O224</f>
        <v>0</v>
      </c>
      <c r="D17" s="118">
        <f>(C17*FE!F73)/1000000</f>
        <v>0</v>
      </c>
      <c r="E17" s="104"/>
      <c r="F17" s="104"/>
    </row>
    <row r="18" spans="2:6" s="2" customFormat="1" x14ac:dyDescent="0.35">
      <c r="B18" s="74" t="s">
        <v>138</v>
      </c>
      <c r="C18" s="119"/>
      <c r="D18" s="120"/>
      <c r="E18" s="104"/>
      <c r="F18" s="104"/>
    </row>
    <row r="19" spans="2:6" s="2" customFormat="1" x14ac:dyDescent="0.35">
      <c r="B19" s="70" t="s">
        <v>228</v>
      </c>
      <c r="C19" s="117">
        <f>Données!O225</f>
        <v>0</v>
      </c>
      <c r="D19" s="118">
        <f>(C19*FE!F73)/1000000</f>
        <v>0</v>
      </c>
      <c r="E19" s="104"/>
      <c r="F19" s="104"/>
    </row>
    <row r="20" spans="2:6" s="2" customFormat="1" x14ac:dyDescent="0.35">
      <c r="B20" s="74" t="s">
        <v>139</v>
      </c>
      <c r="C20" s="119"/>
      <c r="D20" s="120"/>
      <c r="E20" s="104"/>
      <c r="F20" s="104"/>
    </row>
    <row r="21" spans="2:6" s="2" customFormat="1" x14ac:dyDescent="0.35">
      <c r="B21" s="70" t="s">
        <v>228</v>
      </c>
      <c r="C21" s="117">
        <f>Données!O226</f>
        <v>0</v>
      </c>
      <c r="D21" s="118">
        <f>(C21*FE!F73)/1000000</f>
        <v>0</v>
      </c>
      <c r="E21" s="104"/>
      <c r="F21" s="104"/>
    </row>
    <row r="22" spans="2:6" s="2" customFormat="1" x14ac:dyDescent="0.35">
      <c r="B22" s="74" t="s">
        <v>230</v>
      </c>
      <c r="C22" s="119"/>
      <c r="D22" s="120"/>
      <c r="E22" s="104"/>
      <c r="F22" s="104"/>
    </row>
    <row r="23" spans="2:6" s="2" customFormat="1" x14ac:dyDescent="0.35">
      <c r="B23" s="70" t="s">
        <v>228</v>
      </c>
      <c r="C23" s="117">
        <f>Données!O227</f>
        <v>0</v>
      </c>
      <c r="D23" s="118">
        <f>(C23*FE!F73)/1000000</f>
        <v>0</v>
      </c>
      <c r="E23" s="104"/>
      <c r="F23" s="104"/>
    </row>
    <row r="24" spans="2:6" s="2" customFormat="1" x14ac:dyDescent="0.35">
      <c r="B24" s="74" t="s">
        <v>143</v>
      </c>
      <c r="C24" s="119"/>
      <c r="D24" s="120"/>
      <c r="E24" s="104"/>
      <c r="F24" s="104"/>
    </row>
    <row r="25" spans="2:6" s="2" customFormat="1" x14ac:dyDescent="0.35">
      <c r="B25" s="70" t="s">
        <v>228</v>
      </c>
      <c r="C25" s="117">
        <f>Données!O228</f>
        <v>0</v>
      </c>
      <c r="D25" s="118">
        <f>(C25*FE!F73)/1000000</f>
        <v>0</v>
      </c>
      <c r="E25" s="104"/>
      <c r="F25" s="104"/>
    </row>
    <row r="26" spans="2:6" s="2" customFormat="1" x14ac:dyDescent="0.35">
      <c r="B26" s="74" t="s">
        <v>231</v>
      </c>
      <c r="C26" s="119"/>
      <c r="D26" s="120"/>
      <c r="E26" s="104"/>
      <c r="F26" s="104"/>
    </row>
    <row r="27" spans="2:6" s="2" customFormat="1" x14ac:dyDescent="0.35">
      <c r="B27" s="70" t="s">
        <v>228</v>
      </c>
      <c r="C27" s="117">
        <f>Données!O229</f>
        <v>0</v>
      </c>
      <c r="D27" s="118">
        <f>(C27*FE!F73)/1000000</f>
        <v>0</v>
      </c>
      <c r="E27" s="104"/>
      <c r="F27" s="104"/>
    </row>
    <row r="28" spans="2:6" s="2" customFormat="1" x14ac:dyDescent="0.35">
      <c r="B28" s="72" t="s">
        <v>232</v>
      </c>
      <c r="C28" s="126"/>
      <c r="D28" s="127"/>
      <c r="E28" s="104"/>
      <c r="F28" s="104"/>
    </row>
    <row r="29" spans="2:6" x14ac:dyDescent="0.35">
      <c r="B29" s="70" t="s">
        <v>228</v>
      </c>
      <c r="C29" s="117">
        <f>Données!O230</f>
        <v>0</v>
      </c>
      <c r="D29" s="118">
        <f>(C29*FE!F73)/1000000</f>
        <v>0</v>
      </c>
      <c r="E29" s="104"/>
      <c r="F29" s="104"/>
    </row>
    <row r="30" spans="2:6" x14ac:dyDescent="0.35">
      <c r="B30" s="73" t="s">
        <v>146</v>
      </c>
      <c r="C30" s="119"/>
      <c r="D30" s="120"/>
      <c r="E30" s="30"/>
      <c r="F30" s="30"/>
    </row>
    <row r="31" spans="2:6" x14ac:dyDescent="0.35">
      <c r="B31" s="70" t="s">
        <v>228</v>
      </c>
      <c r="C31" s="117">
        <f>Données!O231</f>
        <v>0</v>
      </c>
      <c r="D31" s="118">
        <f>(C31*FE!F73)/1000000</f>
        <v>0</v>
      </c>
      <c r="E31" s="30"/>
      <c r="F31" s="30"/>
    </row>
    <row r="32" spans="2:6" x14ac:dyDescent="0.35">
      <c r="B32" s="73" t="s">
        <v>147</v>
      </c>
      <c r="C32" s="119"/>
      <c r="D32" s="120"/>
      <c r="E32" s="30"/>
      <c r="F32" s="30"/>
    </row>
    <row r="33" spans="2:6" x14ac:dyDescent="0.35">
      <c r="B33" s="70" t="s">
        <v>228</v>
      </c>
      <c r="C33" s="117">
        <f>Données!O232</f>
        <v>0</v>
      </c>
      <c r="D33" s="118">
        <f>(C33*FE!F73)/1000000</f>
        <v>0</v>
      </c>
      <c r="E33" s="30"/>
      <c r="F33" s="30"/>
    </row>
    <row r="34" spans="2:6" x14ac:dyDescent="0.35">
      <c r="B34" s="74" t="s">
        <v>148</v>
      </c>
      <c r="C34" s="119"/>
      <c r="D34" s="120"/>
      <c r="E34" s="30"/>
      <c r="F34" s="30"/>
    </row>
    <row r="35" spans="2:6" x14ac:dyDescent="0.35">
      <c r="B35" s="70" t="s">
        <v>228</v>
      </c>
      <c r="C35" s="117">
        <f>Données!O233</f>
        <v>0</v>
      </c>
      <c r="D35" s="118">
        <f>(C35*FE!F73)/1000000</f>
        <v>0</v>
      </c>
      <c r="E35" s="30"/>
      <c r="F35" s="30"/>
    </row>
    <row r="36" spans="2:6" x14ac:dyDescent="0.35">
      <c r="B36" s="74" t="s">
        <v>150</v>
      </c>
      <c r="C36" s="119"/>
      <c r="D36" s="120"/>
      <c r="E36" s="30"/>
      <c r="F36" s="30"/>
    </row>
    <row r="37" spans="2:6" x14ac:dyDescent="0.35">
      <c r="B37" s="70" t="s">
        <v>228</v>
      </c>
      <c r="C37" s="117">
        <f>Données!O234</f>
        <v>0</v>
      </c>
      <c r="D37" s="118">
        <f>(C37*FE!F73)/1000000</f>
        <v>0</v>
      </c>
      <c r="E37" s="30"/>
      <c r="F37" s="30"/>
    </row>
    <row r="38" spans="2:6" x14ac:dyDescent="0.35">
      <c r="B38" s="74" t="s">
        <v>151</v>
      </c>
      <c r="C38" s="119"/>
      <c r="D38" s="120"/>
      <c r="E38" s="30"/>
      <c r="F38" s="30"/>
    </row>
    <row r="39" spans="2:6" x14ac:dyDescent="0.35">
      <c r="B39" s="70" t="s">
        <v>228</v>
      </c>
      <c r="C39" s="117">
        <f>Données!O235</f>
        <v>0</v>
      </c>
      <c r="D39" s="118">
        <f>(C39*FE!F73)/1000000</f>
        <v>0</v>
      </c>
      <c r="E39" s="30"/>
      <c r="F39" s="30"/>
    </row>
    <row r="40" spans="2:6" x14ac:dyDescent="0.35">
      <c r="B40" s="74" t="s">
        <v>152</v>
      </c>
      <c r="C40" s="119"/>
      <c r="D40" s="120"/>
      <c r="E40" s="30"/>
      <c r="F40" s="30"/>
    </row>
    <row r="41" spans="2:6" x14ac:dyDescent="0.35">
      <c r="B41" s="70" t="s">
        <v>228</v>
      </c>
      <c r="C41" s="117">
        <f>Données!O236</f>
        <v>0</v>
      </c>
      <c r="D41" s="118">
        <f>(C41*FE!F73)/1000000</f>
        <v>0</v>
      </c>
      <c r="E41" s="30"/>
      <c r="F41" s="30"/>
    </row>
    <row r="42" spans="2:6" x14ac:dyDescent="0.35">
      <c r="B42" s="74" t="s">
        <v>153</v>
      </c>
      <c r="C42" s="119"/>
      <c r="D42" s="120"/>
      <c r="E42" s="30"/>
      <c r="F42" s="30"/>
    </row>
    <row r="43" spans="2:6" x14ac:dyDescent="0.35">
      <c r="B43" s="70" t="s">
        <v>228</v>
      </c>
      <c r="C43" s="117">
        <f>Données!O237</f>
        <v>0</v>
      </c>
      <c r="D43" s="118">
        <f>(C43*FE!F73)/1000000</f>
        <v>0</v>
      </c>
      <c r="E43" s="30"/>
      <c r="F43" s="30"/>
    </row>
    <row r="44" spans="2:6" x14ac:dyDescent="0.35">
      <c r="B44" s="74" t="s">
        <v>154</v>
      </c>
      <c r="C44" s="119"/>
      <c r="D44" s="120"/>
      <c r="E44" s="30"/>
      <c r="F44" s="30"/>
    </row>
    <row r="45" spans="2:6" x14ac:dyDescent="0.35">
      <c r="B45" s="70" t="s">
        <v>228</v>
      </c>
      <c r="C45" s="117">
        <f>Données!O238</f>
        <v>0</v>
      </c>
      <c r="D45" s="118">
        <f>(C45*FE!F73)/1000000</f>
        <v>0</v>
      </c>
      <c r="E45" s="30"/>
      <c r="F45" s="30"/>
    </row>
    <row r="46" spans="2:6" x14ac:dyDescent="0.35">
      <c r="B46" s="74" t="s">
        <v>155</v>
      </c>
      <c r="C46" s="119"/>
      <c r="D46" s="120"/>
      <c r="E46" s="30"/>
      <c r="F46" s="30"/>
    </row>
    <row r="47" spans="2:6" x14ac:dyDescent="0.35">
      <c r="B47" s="70" t="s">
        <v>228</v>
      </c>
      <c r="C47" s="117">
        <f>Données!O239</f>
        <v>0</v>
      </c>
      <c r="D47" s="118">
        <f>(C47*FE!F73)/1000000</f>
        <v>0</v>
      </c>
      <c r="E47" s="30"/>
      <c r="F47" s="30"/>
    </row>
    <row r="48" spans="2:6" x14ac:dyDescent="0.35">
      <c r="B48" s="74" t="s">
        <v>156</v>
      </c>
      <c r="C48" s="119"/>
      <c r="D48" s="120"/>
      <c r="E48" s="30"/>
      <c r="F48" s="30"/>
    </row>
    <row r="49" spans="2:6" x14ac:dyDescent="0.35">
      <c r="B49" s="70" t="s">
        <v>228</v>
      </c>
      <c r="C49" s="117">
        <f>Données!O240</f>
        <v>0</v>
      </c>
      <c r="D49" s="118">
        <f>(C49*FE!F73)/1000000</f>
        <v>0</v>
      </c>
      <c r="E49" s="30"/>
      <c r="F49" s="30"/>
    </row>
    <row r="50" spans="2:6" x14ac:dyDescent="0.35">
      <c r="B50" s="707" t="s">
        <v>157</v>
      </c>
      <c r="C50" s="708"/>
      <c r="D50" s="709"/>
      <c r="E50" s="30"/>
      <c r="F50" s="30"/>
    </row>
    <row r="51" spans="2:6" x14ac:dyDescent="0.35">
      <c r="B51" s="70" t="s">
        <v>228</v>
      </c>
      <c r="C51" s="117">
        <f>Données!O241</f>
        <v>0</v>
      </c>
      <c r="D51" s="118">
        <f>(C51*FE!F73)/1000000</f>
        <v>0</v>
      </c>
      <c r="E51" s="30"/>
      <c r="F51" s="30"/>
    </row>
    <row r="52" spans="2:6" x14ac:dyDescent="0.35">
      <c r="B52" s="74" t="s">
        <v>158</v>
      </c>
      <c r="C52" s="119"/>
      <c r="D52" s="120"/>
      <c r="E52" s="30"/>
      <c r="F52" s="30"/>
    </row>
    <row r="53" spans="2:6" x14ac:dyDescent="0.35">
      <c r="B53" s="70" t="s">
        <v>228</v>
      </c>
      <c r="C53" s="117">
        <f>Données!O242</f>
        <v>0</v>
      </c>
      <c r="D53" s="118">
        <f>(C53*FE!F73)/1000000</f>
        <v>0</v>
      </c>
      <c r="E53" s="30"/>
      <c r="F53" s="30"/>
    </row>
    <row r="54" spans="2:6" x14ac:dyDescent="0.35">
      <c r="B54" s="74" t="s">
        <v>159</v>
      </c>
      <c r="C54" s="119"/>
      <c r="D54" s="120"/>
      <c r="E54" s="30"/>
      <c r="F54" s="30"/>
    </row>
    <row r="55" spans="2:6" x14ac:dyDescent="0.35">
      <c r="B55" s="70" t="s">
        <v>228</v>
      </c>
      <c r="C55" s="117">
        <f>Données!O243</f>
        <v>0</v>
      </c>
      <c r="D55" s="118">
        <f>(C55*FE!F73)/1000000</f>
        <v>0</v>
      </c>
      <c r="E55" s="30"/>
      <c r="F55" s="30"/>
    </row>
    <row r="56" spans="2:6" x14ac:dyDescent="0.35">
      <c r="B56" s="74" t="s">
        <v>160</v>
      </c>
      <c r="C56" s="119"/>
      <c r="D56" s="120"/>
      <c r="E56" s="30"/>
      <c r="F56" s="30"/>
    </row>
    <row r="57" spans="2:6" x14ac:dyDescent="0.35">
      <c r="B57" s="70" t="s">
        <v>228</v>
      </c>
      <c r="C57" s="117">
        <f>Données!O244</f>
        <v>0</v>
      </c>
      <c r="D57" s="118">
        <f>(C57*FE!F73)/1000000</f>
        <v>0</v>
      </c>
      <c r="E57" s="30"/>
      <c r="F57" s="30"/>
    </row>
    <row r="58" spans="2:6" x14ac:dyDescent="0.35">
      <c r="B58" s="74" t="s">
        <v>161</v>
      </c>
      <c r="C58" s="119"/>
      <c r="D58" s="120"/>
      <c r="E58" s="30"/>
      <c r="F58" s="30"/>
    </row>
    <row r="59" spans="2:6" x14ac:dyDescent="0.35">
      <c r="B59" s="70" t="s">
        <v>228</v>
      </c>
      <c r="C59" s="117">
        <f>Données!O245</f>
        <v>0</v>
      </c>
      <c r="D59" s="118">
        <f>(C59*FE!F73)/1000000</f>
        <v>0</v>
      </c>
      <c r="E59" s="30"/>
      <c r="F59" s="30"/>
    </row>
    <row r="60" spans="2:6" x14ac:dyDescent="0.35">
      <c r="B60" s="74" t="s">
        <v>162</v>
      </c>
      <c r="C60" s="119"/>
      <c r="D60" s="120"/>
      <c r="E60" s="30"/>
      <c r="F60" s="30"/>
    </row>
    <row r="61" spans="2:6" x14ac:dyDescent="0.35">
      <c r="B61" s="70" t="s">
        <v>228</v>
      </c>
      <c r="C61" s="117">
        <f>Données!O246</f>
        <v>0</v>
      </c>
      <c r="D61" s="118">
        <f>(C61*FE!F73)/1000000</f>
        <v>0</v>
      </c>
      <c r="E61" s="30"/>
      <c r="F61" s="30"/>
    </row>
    <row r="62" spans="2:6" x14ac:dyDescent="0.35">
      <c r="B62" s="74" t="s">
        <v>163</v>
      </c>
      <c r="C62" s="119"/>
      <c r="D62" s="120"/>
      <c r="E62" s="30"/>
      <c r="F62" s="30"/>
    </row>
    <row r="63" spans="2:6" x14ac:dyDescent="0.35">
      <c r="B63" s="70" t="s">
        <v>228</v>
      </c>
      <c r="C63" s="117">
        <f>Données!O247</f>
        <v>0</v>
      </c>
      <c r="D63" s="118">
        <f>(C63*FE!F73)/1000000</f>
        <v>0</v>
      </c>
      <c r="E63" s="30"/>
      <c r="F63" s="30"/>
    </row>
    <row r="64" spans="2:6" x14ac:dyDescent="0.35">
      <c r="B64" s="92" t="s">
        <v>59</v>
      </c>
      <c r="C64" s="93">
        <f>C65</f>
        <v>0</v>
      </c>
      <c r="D64" s="94">
        <f>D65</f>
        <v>0</v>
      </c>
      <c r="E64" s="30"/>
      <c r="F64" s="30"/>
    </row>
    <row r="65" spans="2:6" x14ac:dyDescent="0.35">
      <c r="B65" s="70" t="s">
        <v>228</v>
      </c>
      <c r="C65" s="117">
        <f>Données!O250</f>
        <v>0</v>
      </c>
      <c r="D65" s="118">
        <f>(C65*FE!F73)/1000000</f>
        <v>0</v>
      </c>
      <c r="E65" s="30"/>
      <c r="F65" s="30"/>
    </row>
    <row r="66" spans="2:6" x14ac:dyDescent="0.35">
      <c r="B66" s="92" t="s">
        <v>73</v>
      </c>
      <c r="C66" s="93">
        <f>SUM(C68+C70+C72+C74+C76+C78+C80+C82+C84+C86)</f>
        <v>0</v>
      </c>
      <c r="D66" s="93">
        <f>(D68+D70+D72+D74+D76+D78+D80+D82+D84+D86)</f>
        <v>0</v>
      </c>
      <c r="E66" s="30"/>
      <c r="F66" s="30"/>
    </row>
    <row r="67" spans="2:6" x14ac:dyDescent="0.35">
      <c r="B67" s="704" t="s">
        <v>233</v>
      </c>
      <c r="C67" s="705"/>
      <c r="D67" s="706"/>
      <c r="E67" s="30"/>
      <c r="F67" s="30"/>
    </row>
    <row r="68" spans="2:6" x14ac:dyDescent="0.35">
      <c r="B68" s="70" t="s">
        <v>228</v>
      </c>
      <c r="C68" s="117">
        <f>Données!O253</f>
        <v>0</v>
      </c>
      <c r="D68" s="118">
        <f>(C68*FE!F73)/1000000</f>
        <v>0</v>
      </c>
      <c r="E68" s="30"/>
      <c r="F68" s="30"/>
    </row>
    <row r="69" spans="2:6" x14ac:dyDescent="0.35">
      <c r="B69" s="704" t="s">
        <v>234</v>
      </c>
      <c r="C69" s="705"/>
      <c r="D69" s="706"/>
      <c r="E69" s="30"/>
      <c r="F69" s="30"/>
    </row>
    <row r="70" spans="2:6" x14ac:dyDescent="0.35">
      <c r="B70" s="70" t="s">
        <v>228</v>
      </c>
      <c r="C70" s="117">
        <f>Données!O254</f>
        <v>0</v>
      </c>
      <c r="D70" s="118">
        <f>(C70*FE!F73)/1000000</f>
        <v>0</v>
      </c>
      <c r="E70" s="30"/>
      <c r="F70" s="30"/>
    </row>
    <row r="71" spans="2:6" x14ac:dyDescent="0.35">
      <c r="B71" s="704" t="s">
        <v>235</v>
      </c>
      <c r="C71" s="705"/>
      <c r="D71" s="706"/>
      <c r="E71" s="30"/>
      <c r="F71" s="30"/>
    </row>
    <row r="72" spans="2:6" x14ac:dyDescent="0.35">
      <c r="B72" s="70" t="s">
        <v>228</v>
      </c>
      <c r="C72" s="117">
        <f>Données!O255</f>
        <v>0</v>
      </c>
      <c r="D72" s="118">
        <f>(C72*FE!F73)/1000000</f>
        <v>0</v>
      </c>
      <c r="E72" s="30"/>
      <c r="F72" s="30"/>
    </row>
    <row r="73" spans="2:6" x14ac:dyDescent="0.35">
      <c r="B73" s="704" t="s">
        <v>236</v>
      </c>
      <c r="C73" s="705"/>
      <c r="D73" s="706"/>
      <c r="E73" s="30"/>
      <c r="F73" s="30"/>
    </row>
    <row r="74" spans="2:6" x14ac:dyDescent="0.35">
      <c r="B74" s="70" t="s">
        <v>228</v>
      </c>
      <c r="C74" s="117">
        <f>Données!O256</f>
        <v>0</v>
      </c>
      <c r="D74" s="118">
        <f>(C74*FE!F73)/1000000</f>
        <v>0</v>
      </c>
      <c r="E74" s="30"/>
      <c r="F74" s="30"/>
    </row>
    <row r="75" spans="2:6" x14ac:dyDescent="0.35">
      <c r="B75" s="704" t="s">
        <v>237</v>
      </c>
      <c r="C75" s="705"/>
      <c r="D75" s="706"/>
      <c r="E75" s="30"/>
      <c r="F75" s="30"/>
    </row>
    <row r="76" spans="2:6" x14ac:dyDescent="0.35">
      <c r="B76" s="70" t="s">
        <v>228</v>
      </c>
      <c r="C76" s="117">
        <f>Données!O257</f>
        <v>0</v>
      </c>
      <c r="D76" s="118">
        <f>(C76*FE!F73)/1000000</f>
        <v>0</v>
      </c>
      <c r="E76" s="30"/>
      <c r="F76" s="30"/>
    </row>
    <row r="77" spans="2:6" x14ac:dyDescent="0.35">
      <c r="B77" s="704" t="s">
        <v>238</v>
      </c>
      <c r="C77" s="705"/>
      <c r="D77" s="706"/>
      <c r="E77" s="30"/>
      <c r="F77" s="30"/>
    </row>
    <row r="78" spans="2:6" x14ac:dyDescent="0.35">
      <c r="B78" s="70" t="s">
        <v>228</v>
      </c>
      <c r="C78" s="153">
        <f>Données!O258</f>
        <v>0</v>
      </c>
      <c r="D78" s="118">
        <f>(C78*FE!F73)/1000000</f>
        <v>0</v>
      </c>
      <c r="E78" s="30"/>
      <c r="F78" s="30"/>
    </row>
    <row r="79" spans="2:6" x14ac:dyDescent="0.35">
      <c r="B79" s="704" t="s">
        <v>239</v>
      </c>
      <c r="C79" s="705"/>
      <c r="D79" s="706"/>
      <c r="E79" s="30"/>
      <c r="F79" s="30"/>
    </row>
    <row r="80" spans="2:6" x14ac:dyDescent="0.35">
      <c r="B80" s="70" t="s">
        <v>228</v>
      </c>
      <c r="C80" s="117">
        <f>Données!O259</f>
        <v>0</v>
      </c>
      <c r="D80" s="118">
        <f>(C80*FE!F73)/1000000</f>
        <v>0</v>
      </c>
      <c r="E80" s="30"/>
      <c r="F80" s="30"/>
    </row>
    <row r="81" spans="2:6" x14ac:dyDescent="0.35">
      <c r="B81" s="704" t="s">
        <v>240</v>
      </c>
      <c r="C81" s="705"/>
      <c r="D81" s="706"/>
      <c r="E81" s="30"/>
      <c r="F81" s="30"/>
    </row>
    <row r="82" spans="2:6" x14ac:dyDescent="0.35">
      <c r="B82" s="70" t="s">
        <v>228</v>
      </c>
      <c r="C82" s="117">
        <f>Données!O260</f>
        <v>0</v>
      </c>
      <c r="D82" s="118">
        <f>(C82*FE!F73)/1000000</f>
        <v>0</v>
      </c>
      <c r="E82" s="30"/>
      <c r="F82" s="30"/>
    </row>
    <row r="83" spans="2:6" x14ac:dyDescent="0.35">
      <c r="B83" s="704" t="s">
        <v>241</v>
      </c>
      <c r="C83" s="710"/>
      <c r="D83" s="711"/>
      <c r="E83" s="30"/>
      <c r="F83" s="30"/>
    </row>
    <row r="84" spans="2:6" x14ac:dyDescent="0.35">
      <c r="B84" s="70" t="s">
        <v>228</v>
      </c>
      <c r="C84" s="117">
        <f>Données!O261</f>
        <v>0</v>
      </c>
      <c r="D84" s="118">
        <f>(C84*FE!F73)/1000000</f>
        <v>0</v>
      </c>
      <c r="E84" s="30"/>
      <c r="F84" s="30"/>
    </row>
    <row r="85" spans="2:6" x14ac:dyDescent="0.35">
      <c r="B85" s="704" t="s">
        <v>242</v>
      </c>
      <c r="C85" s="710"/>
      <c r="D85" s="711"/>
      <c r="E85" s="30"/>
      <c r="F85" s="30"/>
    </row>
    <row r="86" spans="2:6" x14ac:dyDescent="0.35">
      <c r="B86" s="70" t="s">
        <v>228</v>
      </c>
      <c r="C86" s="117">
        <f>Données!O262</f>
        <v>0</v>
      </c>
      <c r="D86" s="118">
        <f>(C86*FE!F73)/1000000</f>
        <v>0</v>
      </c>
      <c r="E86" s="30"/>
      <c r="F86" s="30"/>
    </row>
    <row r="87" spans="2:6" ht="55.5" customHeight="1" thickBot="1" x14ac:dyDescent="0.4">
      <c r="B87" s="702" t="s">
        <v>243</v>
      </c>
      <c r="C87" s="703"/>
      <c r="D87" s="94">
        <f>D66+D64+D5</f>
        <v>0</v>
      </c>
      <c r="E87" s="30"/>
      <c r="F87" s="30"/>
    </row>
    <row r="88" spans="2:6" ht="21" x14ac:dyDescent="0.5">
      <c r="B88" s="697" t="s">
        <v>244</v>
      </c>
      <c r="C88" s="698"/>
      <c r="D88" s="699"/>
      <c r="E88" s="30"/>
      <c r="F88" s="30"/>
    </row>
    <row r="89" spans="2:6" x14ac:dyDescent="0.35">
      <c r="B89" s="700" t="s">
        <v>98</v>
      </c>
      <c r="C89" s="701" t="s">
        <v>225</v>
      </c>
      <c r="D89" s="124" t="s">
        <v>226</v>
      </c>
      <c r="E89" s="30"/>
      <c r="F89" s="30"/>
    </row>
    <row r="90" spans="2:6" x14ac:dyDescent="0.35">
      <c r="B90" s="700"/>
      <c r="C90" s="701"/>
      <c r="D90" s="124" t="s">
        <v>227</v>
      </c>
      <c r="E90" s="30"/>
      <c r="F90" s="30"/>
    </row>
    <row r="91" spans="2:6" x14ac:dyDescent="0.35">
      <c r="B91" s="69" t="s">
        <v>57</v>
      </c>
      <c r="C91" s="125">
        <f>C93+C95</f>
        <v>0</v>
      </c>
      <c r="D91" s="128">
        <f>D93+D95</f>
        <v>0</v>
      </c>
      <c r="E91" s="30"/>
      <c r="F91" s="30"/>
    </row>
    <row r="92" spans="2:6" x14ac:dyDescent="0.35">
      <c r="B92" s="75" t="s">
        <v>245</v>
      </c>
      <c r="C92" s="129"/>
      <c r="D92" s="130"/>
      <c r="E92" s="55"/>
      <c r="F92" s="55"/>
    </row>
    <row r="93" spans="2:6" x14ac:dyDescent="0.35">
      <c r="B93" s="70" t="s">
        <v>228</v>
      </c>
      <c r="C93" s="117">
        <f>Données!O265</f>
        <v>0</v>
      </c>
      <c r="D93" s="118">
        <f>(C93*FE!F73)/1000000</f>
        <v>0</v>
      </c>
      <c r="E93" s="55"/>
      <c r="F93" s="55"/>
    </row>
    <row r="94" spans="2:6" x14ac:dyDescent="0.35">
      <c r="B94" s="75" t="s">
        <v>246</v>
      </c>
      <c r="C94" s="129"/>
      <c r="D94" s="130"/>
      <c r="E94" s="55"/>
      <c r="F94" s="55"/>
    </row>
    <row r="95" spans="2:6" x14ac:dyDescent="0.35">
      <c r="B95" s="70" t="s">
        <v>228</v>
      </c>
      <c r="C95" s="117">
        <f>Données!O266</f>
        <v>0</v>
      </c>
      <c r="D95" s="118">
        <f>(C95*FE!F73)/1000000</f>
        <v>0</v>
      </c>
      <c r="E95" s="55"/>
      <c r="F95" s="55"/>
    </row>
    <row r="96" spans="2:6" x14ac:dyDescent="0.35">
      <c r="B96" s="71" t="s">
        <v>210</v>
      </c>
      <c r="C96" s="93">
        <f>C97</f>
        <v>0</v>
      </c>
      <c r="D96" s="94">
        <f>D97</f>
        <v>0</v>
      </c>
      <c r="E96" s="30"/>
      <c r="F96" s="30"/>
    </row>
    <row r="97" spans="2:6" x14ac:dyDescent="0.35">
      <c r="B97" s="70" t="s">
        <v>228</v>
      </c>
      <c r="C97" s="117">
        <f>Données!O268</f>
        <v>0</v>
      </c>
      <c r="D97" s="118">
        <f>(C97*FE!F73)/1000000</f>
        <v>0</v>
      </c>
      <c r="E97" s="30"/>
      <c r="F97" s="30"/>
    </row>
    <row r="98" spans="2:6" ht="45.75" customHeight="1" x14ac:dyDescent="0.55000000000000004">
      <c r="B98" s="693" t="s">
        <v>247</v>
      </c>
      <c r="C98" s="694"/>
      <c r="D98" s="94">
        <f>D91+D96</f>
        <v>0</v>
      </c>
      <c r="E98" s="30"/>
      <c r="F98" s="30"/>
    </row>
    <row r="99" spans="2:6" ht="61.5" customHeight="1" x14ac:dyDescent="0.55000000000000004">
      <c r="B99" s="695" t="s">
        <v>248</v>
      </c>
      <c r="C99" s="696"/>
      <c r="D99" s="122"/>
      <c r="E99" s="30"/>
      <c r="F99" s="30"/>
    </row>
    <row r="100" spans="2:6" x14ac:dyDescent="0.35">
      <c r="B100" s="137" t="s">
        <v>249</v>
      </c>
      <c r="E100" s="30"/>
      <c r="F100" s="30"/>
    </row>
    <row r="101" spans="2:6" ht="90.75" customHeight="1" x14ac:dyDescent="0.35">
      <c r="B101" s="1" t="s">
        <v>250</v>
      </c>
      <c r="C101" s="136"/>
      <c r="D101" s="136"/>
      <c r="E101" s="136"/>
      <c r="F101" s="136"/>
    </row>
    <row r="102" spans="2:6" ht="15" customHeight="1" x14ac:dyDescent="0.35">
      <c r="B102" s="136"/>
      <c r="C102" s="136"/>
      <c r="D102" s="136"/>
      <c r="E102" s="136"/>
      <c r="F102" s="136"/>
    </row>
    <row r="103" spans="2:6" ht="15" customHeight="1" x14ac:dyDescent="0.35">
      <c r="B103" s="136"/>
      <c r="C103" s="136"/>
      <c r="D103" s="136"/>
      <c r="E103" s="136"/>
      <c r="F103" s="136"/>
    </row>
  </sheetData>
  <sheetProtection algorithmName="SHA-512" hashValue="HNVZMhaRsklKPYEvegKwpy2gPRFs4WlMC6nkOOoD4+ixBqdU2aHWj/rAjQAse0Qg4e32gg8LnfEH6yFUUijkWg==" saltValue="ah2u572wj2z9FzjzfsrGmA==" spinCount="100000" sheet="1" formatCells="0" formatColumns="0" formatRows="0" insertColumns="0" insertRows="0" insertHyperlinks="0" deleteColumns="0" deleteRows="0" sort="0" autoFilter="0" pivotTables="0"/>
  <mergeCells count="21">
    <mergeCell ref="E1:F1"/>
    <mergeCell ref="B87:C87"/>
    <mergeCell ref="B88:D88"/>
    <mergeCell ref="B79:D79"/>
    <mergeCell ref="B71:D71"/>
    <mergeCell ref="B73:D73"/>
    <mergeCell ref="B75:D75"/>
    <mergeCell ref="B77:D77"/>
    <mergeCell ref="B3:B4"/>
    <mergeCell ref="C3:C4"/>
    <mergeCell ref="B50:D50"/>
    <mergeCell ref="B85:D85"/>
    <mergeCell ref="B81:D81"/>
    <mergeCell ref="B83:D83"/>
    <mergeCell ref="B67:D67"/>
    <mergeCell ref="B69:D69"/>
    <mergeCell ref="B98:C98"/>
    <mergeCell ref="B99:C99"/>
    <mergeCell ref="B2:D2"/>
    <mergeCell ref="B89:B90"/>
    <mergeCell ref="C89:C9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BDEB-C6A0-4B29-BB95-CB7BE27F34EF}">
  <dimension ref="B1:L138"/>
  <sheetViews>
    <sheetView topLeftCell="A6" zoomScaleNormal="100" workbookViewId="0">
      <selection activeCell="K13" sqref="K13"/>
    </sheetView>
  </sheetViews>
  <sheetFormatPr baseColWidth="10" defaultColWidth="11.453125" defaultRowHeight="14.5" x14ac:dyDescent="0.35"/>
  <cols>
    <col min="2" max="2" width="37.1796875" customWidth="1"/>
    <col min="3" max="3" width="23.7265625" customWidth="1"/>
    <col min="4" max="4" width="20.1796875" style="9" customWidth="1"/>
    <col min="5" max="5" width="18.7265625" style="9" customWidth="1"/>
    <col min="6" max="6" width="20.26953125" style="9" customWidth="1"/>
    <col min="7" max="7" width="39.81640625" style="9" customWidth="1"/>
    <col min="8" max="8" width="21.81640625" style="9" customWidth="1"/>
    <col min="10" max="10" width="21" customWidth="1"/>
    <col min="11" max="12" width="25.7265625" customWidth="1"/>
  </cols>
  <sheetData>
    <row r="1" spans="2:12" ht="18.5" x14ac:dyDescent="0.35">
      <c r="H1" s="621"/>
      <c r="J1" s="397" t="s">
        <v>251</v>
      </c>
      <c r="K1" s="454" t="s">
        <v>252</v>
      </c>
      <c r="L1" s="397" t="s">
        <v>253</v>
      </c>
    </row>
    <row r="2" spans="2:12" ht="21" x14ac:dyDescent="0.5">
      <c r="B2" s="712" t="s">
        <v>254</v>
      </c>
      <c r="C2" s="713"/>
      <c r="D2" s="713"/>
      <c r="E2" s="713"/>
      <c r="F2" s="713"/>
      <c r="G2" s="497"/>
      <c r="H2" s="622"/>
      <c r="J2" s="542" t="s">
        <v>255</v>
      </c>
      <c r="K2" s="476"/>
      <c r="L2" s="292"/>
    </row>
    <row r="3" spans="2:12" ht="29" x14ac:dyDescent="0.35">
      <c r="B3" s="700" t="s">
        <v>98</v>
      </c>
      <c r="C3" s="718" t="s">
        <v>201</v>
      </c>
      <c r="D3" s="718"/>
      <c r="E3" s="718"/>
      <c r="F3" s="496" t="s">
        <v>226</v>
      </c>
      <c r="G3" s="498"/>
      <c r="H3" s="495"/>
      <c r="J3" s="303" t="s">
        <v>256</v>
      </c>
      <c r="K3" s="487">
        <v>398000</v>
      </c>
      <c r="L3" s="302" t="s">
        <v>257</v>
      </c>
    </row>
    <row r="4" spans="2:12" ht="160.5" customHeight="1" x14ac:dyDescent="0.35">
      <c r="B4" s="700"/>
      <c r="C4" s="49" t="s">
        <v>258</v>
      </c>
      <c r="D4" s="49" t="s">
        <v>259</v>
      </c>
      <c r="E4" s="49" t="s">
        <v>260</v>
      </c>
      <c r="F4" s="496" t="s">
        <v>261</v>
      </c>
      <c r="G4" s="499"/>
      <c r="H4" s="495"/>
      <c r="J4" s="303" t="s">
        <v>256</v>
      </c>
      <c r="K4" s="485">
        <f>((K3*134)/1)/1000000</f>
        <v>53.332000000000001</v>
      </c>
      <c r="L4" s="302" t="s">
        <v>262</v>
      </c>
    </row>
    <row r="5" spans="2:12" ht="58" x14ac:dyDescent="0.35">
      <c r="B5" s="489" t="s">
        <v>263</v>
      </c>
      <c r="C5" s="648">
        <f>(F87*(1-K20)*(K13/K15))</f>
        <v>0</v>
      </c>
      <c r="D5" s="649">
        <f>(F86*(1-K20)*(K13/K15))</f>
        <v>0</v>
      </c>
      <c r="E5" s="650"/>
      <c r="F5" s="651">
        <f>D5*PRG!C4</f>
        <v>0</v>
      </c>
      <c r="G5" s="714" t="s">
        <v>264</v>
      </c>
      <c r="H5" s="495"/>
      <c r="J5" s="303" t="s">
        <v>265</v>
      </c>
      <c r="K5" s="486">
        <f>Données!O271</f>
        <v>0</v>
      </c>
      <c r="L5" s="302" t="s">
        <v>266</v>
      </c>
    </row>
    <row r="6" spans="2:12" ht="58" x14ac:dyDescent="0.35">
      <c r="B6" s="490" t="s">
        <v>267</v>
      </c>
      <c r="C6" s="640">
        <f>(F26*(1-K9)*(K5/K7))</f>
        <v>0</v>
      </c>
      <c r="D6" s="641">
        <f>(F25*(1-K9)*(K5/K7))</f>
        <v>0</v>
      </c>
      <c r="E6" s="642"/>
      <c r="F6" s="643">
        <f>D6*PRG!C4</f>
        <v>0</v>
      </c>
      <c r="G6" s="714"/>
      <c r="H6" s="495"/>
      <c r="J6" s="303" t="s">
        <v>265</v>
      </c>
      <c r="K6" s="484">
        <f>K5/1000000</f>
        <v>0</v>
      </c>
      <c r="L6" s="302" t="s">
        <v>262</v>
      </c>
    </row>
    <row r="7" spans="2:12" ht="89.25" customHeight="1" x14ac:dyDescent="0.35">
      <c r="B7" s="491" t="s">
        <v>268</v>
      </c>
      <c r="C7" s="644">
        <f>SUM(C5:C6)</f>
        <v>0</v>
      </c>
      <c r="D7" s="644">
        <f>SUM(D5:D6)</f>
        <v>0</v>
      </c>
      <c r="E7" s="644">
        <f t="shared" ref="E7" si="0">SUM(E5:E6)</f>
        <v>0</v>
      </c>
      <c r="F7" s="645">
        <f>SUM(F5:F6)</f>
        <v>0</v>
      </c>
      <c r="G7" s="500"/>
      <c r="J7" s="303" t="s">
        <v>269</v>
      </c>
      <c r="K7" s="487">
        <v>15500</v>
      </c>
      <c r="L7" s="302" t="s">
        <v>270</v>
      </c>
    </row>
    <row r="8" spans="2:12" ht="111.75" customHeight="1" x14ac:dyDescent="0.35">
      <c r="B8" s="492" t="s">
        <v>271</v>
      </c>
      <c r="C8" s="646">
        <f>C7</f>
        <v>0</v>
      </c>
      <c r="D8" s="646">
        <f>D7</f>
        <v>0</v>
      </c>
      <c r="E8" s="646">
        <f t="shared" ref="E8" si="1">E7</f>
        <v>0</v>
      </c>
      <c r="F8" s="647">
        <f>F7</f>
        <v>0</v>
      </c>
      <c r="G8" s="501"/>
      <c r="J8" s="303" t="s">
        <v>269</v>
      </c>
      <c r="K8" s="483">
        <f>K7/1000000</f>
        <v>1.55E-2</v>
      </c>
      <c r="L8" s="302" t="s">
        <v>262</v>
      </c>
    </row>
    <row r="9" spans="2:12" ht="43.5" x14ac:dyDescent="0.35">
      <c r="J9" s="303" t="s">
        <v>272</v>
      </c>
      <c r="K9" s="477">
        <f>0/100</f>
        <v>0</v>
      </c>
      <c r="L9" s="302" t="s">
        <v>273</v>
      </c>
    </row>
    <row r="10" spans="2:12" x14ac:dyDescent="0.35">
      <c r="B10" s="138" t="s">
        <v>222</v>
      </c>
      <c r="J10" s="542" t="s">
        <v>274</v>
      </c>
      <c r="K10" s="476"/>
      <c r="L10" s="292"/>
    </row>
    <row r="11" spans="2:12" ht="58" x14ac:dyDescent="0.35">
      <c r="B11" s="1" t="s">
        <v>250</v>
      </c>
      <c r="D11" s="489"/>
      <c r="J11" s="303" t="s">
        <v>256</v>
      </c>
      <c r="K11" s="488"/>
      <c r="L11" s="221"/>
    </row>
    <row r="12" spans="2:12" x14ac:dyDescent="0.35">
      <c r="B12" s="9"/>
      <c r="J12" s="303" t="s">
        <v>256</v>
      </c>
      <c r="K12" s="488"/>
      <c r="L12" s="221"/>
    </row>
    <row r="13" spans="2:12" ht="58" x14ac:dyDescent="0.35">
      <c r="J13" s="303" t="s">
        <v>892</v>
      </c>
      <c r="K13" s="486"/>
      <c r="L13" s="302" t="s">
        <v>266</v>
      </c>
    </row>
    <row r="14" spans="2:12" ht="58" x14ac:dyDescent="0.35">
      <c r="J14" s="303" t="s">
        <v>892</v>
      </c>
      <c r="K14" s="477"/>
      <c r="L14" s="302" t="s">
        <v>262</v>
      </c>
    </row>
    <row r="15" spans="2:12" ht="43.5" x14ac:dyDescent="0.35">
      <c r="J15" s="303" t="s">
        <v>275</v>
      </c>
      <c r="K15" s="487">
        <v>430000</v>
      </c>
      <c r="L15" s="302" t="s">
        <v>266</v>
      </c>
    </row>
    <row r="16" spans="2:12" ht="70.5" customHeight="1" x14ac:dyDescent="0.35">
      <c r="B16" s="719"/>
      <c r="C16" s="719"/>
      <c r="D16" s="719"/>
      <c r="E16" s="719"/>
      <c r="F16" s="719"/>
      <c r="G16" s="719"/>
      <c r="J16" s="303" t="s">
        <v>269</v>
      </c>
      <c r="K16" s="486">
        <f>K15/1000000</f>
        <v>0.43</v>
      </c>
      <c r="L16" s="302" t="s">
        <v>262</v>
      </c>
    </row>
    <row r="17" spans="2:12" ht="59.15" customHeight="1" x14ac:dyDescent="0.35">
      <c r="B17" s="715" t="s">
        <v>276</v>
      </c>
      <c r="C17" s="715"/>
      <c r="D17" s="715"/>
      <c r="E17" s="715"/>
      <c r="F17" s="715"/>
      <c r="G17" s="715"/>
      <c r="H17" s="715"/>
      <c r="I17" s="716"/>
      <c r="J17" s="303" t="s">
        <v>277</v>
      </c>
      <c r="K17" s="477">
        <f>13000000/27</f>
        <v>481481.48148148146</v>
      </c>
      <c r="L17" s="302" t="s">
        <v>266</v>
      </c>
    </row>
    <row r="18" spans="2:12" ht="43.5" x14ac:dyDescent="0.35">
      <c r="J18" s="303" t="s">
        <v>278</v>
      </c>
      <c r="K18" s="477">
        <f>K17/1000000</f>
        <v>0.48148148148148145</v>
      </c>
      <c r="L18" s="302" t="s">
        <v>262</v>
      </c>
    </row>
    <row r="19" spans="2:12" x14ac:dyDescent="0.35">
      <c r="B19" s="137" t="s">
        <v>279</v>
      </c>
      <c r="C19" s="137">
        <v>2022</v>
      </c>
      <c r="J19" s="303"/>
      <c r="K19" s="477"/>
      <c r="L19" s="302"/>
    </row>
    <row r="20" spans="2:12" ht="43.5" x14ac:dyDescent="0.35">
      <c r="J20" s="303" t="s">
        <v>272</v>
      </c>
      <c r="K20" s="477">
        <f>82/100</f>
        <v>0.82</v>
      </c>
      <c r="L20" s="302" t="s">
        <v>273</v>
      </c>
    </row>
    <row r="21" spans="2:12" x14ac:dyDescent="0.35">
      <c r="J21" s="724" t="s">
        <v>280</v>
      </c>
      <c r="K21" s="724"/>
      <c r="L21" s="724"/>
    </row>
    <row r="22" spans="2:12" ht="37.5" customHeight="1" x14ac:dyDescent="0.35">
      <c r="B22" s="625" t="s">
        <v>281</v>
      </c>
      <c r="C22" s="625"/>
      <c r="D22" s="626"/>
      <c r="E22" s="626"/>
      <c r="F22" s="723" t="s">
        <v>282</v>
      </c>
      <c r="G22" s="723"/>
      <c r="H22" s="723"/>
      <c r="I22" s="723"/>
      <c r="J22" s="723"/>
      <c r="K22" s="723"/>
      <c r="L22" s="625"/>
    </row>
    <row r="23" spans="2:12" x14ac:dyDescent="0.35">
      <c r="B23" s="625"/>
      <c r="C23" s="625"/>
      <c r="D23" s="626"/>
      <c r="E23" s="626"/>
      <c r="F23" s="636" t="s">
        <v>283</v>
      </c>
      <c r="G23" s="636" t="s">
        <v>284</v>
      </c>
      <c r="H23" s="636" t="s">
        <v>285</v>
      </c>
      <c r="I23" s="637" t="s">
        <v>286</v>
      </c>
      <c r="J23" s="638" t="s">
        <v>287</v>
      </c>
      <c r="K23" s="638" t="s">
        <v>288</v>
      </c>
      <c r="L23" s="625"/>
    </row>
    <row r="24" spans="2:12" x14ac:dyDescent="0.35">
      <c r="B24" s="625" t="s">
        <v>289</v>
      </c>
      <c r="C24" s="625"/>
      <c r="D24" s="626"/>
      <c r="E24" s="626"/>
      <c r="F24" s="627">
        <f>G24*1000000</f>
        <v>4372</v>
      </c>
      <c r="G24" s="627">
        <v>4.372E-3</v>
      </c>
      <c r="H24" s="627">
        <v>3.5009999999999999</v>
      </c>
      <c r="I24" s="628">
        <v>2.352E-4</v>
      </c>
      <c r="J24" s="725">
        <v>123.6</v>
      </c>
      <c r="K24" s="725"/>
      <c r="L24" s="725"/>
    </row>
    <row r="25" spans="2:12" x14ac:dyDescent="0.35">
      <c r="B25" s="625" t="s">
        <v>290</v>
      </c>
      <c r="C25" s="625"/>
      <c r="D25" s="626"/>
      <c r="E25" s="626"/>
      <c r="F25" s="627">
        <f t="shared" ref="F25:F75" si="2">G25*1000000</f>
        <v>1168</v>
      </c>
      <c r="G25" s="627">
        <v>1.168E-3</v>
      </c>
      <c r="H25" s="627">
        <v>1.7509999999999999</v>
      </c>
      <c r="I25" s="628">
        <v>1.176E-4</v>
      </c>
      <c r="J25" s="628">
        <v>61.82</v>
      </c>
      <c r="K25" s="628">
        <v>1.2849999999999999E-3</v>
      </c>
      <c r="L25" s="625"/>
    </row>
    <row r="26" spans="2:12" x14ac:dyDescent="0.35">
      <c r="B26" s="625" t="s">
        <v>291</v>
      </c>
      <c r="C26" s="625"/>
      <c r="D26" s="626"/>
      <c r="E26" s="626"/>
      <c r="F26" s="627">
        <f t="shared" si="2"/>
        <v>3204</v>
      </c>
      <c r="G26" s="627">
        <v>3.2039999999999998E-3</v>
      </c>
      <c r="H26" s="627">
        <v>1.7509999999999999</v>
      </c>
      <c r="I26" s="628">
        <v>1.176E-4</v>
      </c>
      <c r="J26" s="628">
        <v>61.82</v>
      </c>
      <c r="K26" s="628">
        <v>3.5249999999999999E-3</v>
      </c>
      <c r="L26" s="625"/>
    </row>
    <row r="27" spans="2:12" x14ac:dyDescent="0.35">
      <c r="B27" s="625" t="s">
        <v>292</v>
      </c>
      <c r="C27" s="625"/>
      <c r="D27" s="626"/>
      <c r="E27" s="626"/>
      <c r="F27" s="627">
        <f t="shared" si="2"/>
        <v>7.53</v>
      </c>
      <c r="G27" s="627">
        <v>7.5299999999999999E-6</v>
      </c>
      <c r="H27" s="627">
        <v>2.101E-3</v>
      </c>
      <c r="I27" s="628">
        <v>1.4110000000000001E-7</v>
      </c>
      <c r="J27" s="628">
        <v>7.4179999999999996E-2</v>
      </c>
      <c r="K27" s="628">
        <v>8.2830000000000001E-6</v>
      </c>
      <c r="L27" s="625"/>
    </row>
    <row r="28" spans="2:12" x14ac:dyDescent="0.35">
      <c r="B28" s="625" t="s">
        <v>293</v>
      </c>
      <c r="C28" s="625"/>
      <c r="D28" s="626"/>
      <c r="E28" s="626"/>
      <c r="F28" s="627">
        <f t="shared" si="2"/>
        <v>9.325E-3</v>
      </c>
      <c r="G28" s="627">
        <v>9.3250000000000008E-9</v>
      </c>
      <c r="H28" s="627">
        <v>1.6810000000000001E-6</v>
      </c>
      <c r="I28" s="628">
        <v>1.1290000000000001E-10</v>
      </c>
      <c r="J28" s="628">
        <v>5.9349999999999999E-5</v>
      </c>
      <c r="K28" s="628">
        <v>1.0260000000000001E-8</v>
      </c>
      <c r="L28" s="625"/>
    </row>
    <row r="29" spans="2:12" x14ac:dyDescent="0.35">
      <c r="B29" s="625" t="s">
        <v>294</v>
      </c>
      <c r="C29" s="625"/>
      <c r="D29" s="626"/>
      <c r="E29" s="626"/>
      <c r="F29" s="627">
        <f t="shared" si="2"/>
        <v>2.6890000000000001E-2</v>
      </c>
      <c r="G29" s="627">
        <v>2.6890000000000001E-8</v>
      </c>
      <c r="H29" s="627">
        <v>3.8510000000000001E-6</v>
      </c>
      <c r="I29" s="628">
        <v>2.5879999999999997E-10</v>
      </c>
      <c r="J29" s="628">
        <v>1.36E-4</v>
      </c>
      <c r="K29" s="628">
        <v>2.9580000000000001E-8</v>
      </c>
      <c r="L29" s="625"/>
    </row>
    <row r="30" spans="2:12" x14ac:dyDescent="0.35">
      <c r="B30" s="625" t="s">
        <v>295</v>
      </c>
      <c r="C30" s="625"/>
      <c r="D30" s="626"/>
      <c r="E30" s="626"/>
      <c r="F30" s="627">
        <f t="shared" si="2"/>
        <v>3.4590000000000003E-2</v>
      </c>
      <c r="G30" s="627">
        <v>3.4590000000000001E-8</v>
      </c>
      <c r="H30" s="627">
        <v>8.4030000000000007E-6</v>
      </c>
      <c r="I30" s="628">
        <v>5.6459999999999999E-10</v>
      </c>
      <c r="J30" s="628">
        <v>2.967E-4</v>
      </c>
      <c r="K30" s="628">
        <v>3.805E-8</v>
      </c>
      <c r="L30" s="625"/>
    </row>
    <row r="31" spans="2:12" x14ac:dyDescent="0.35">
      <c r="B31" s="625" t="s">
        <v>296</v>
      </c>
      <c r="C31" s="625"/>
      <c r="D31" s="626"/>
      <c r="E31" s="626"/>
      <c r="F31" s="627">
        <f t="shared" si="2"/>
        <v>2.823E-3</v>
      </c>
      <c r="G31" s="627">
        <v>2.8229999999999999E-9</v>
      </c>
      <c r="H31" s="627">
        <v>7.0019999999999998E-7</v>
      </c>
      <c r="I31" s="628">
        <v>4.7050000000000002E-11</v>
      </c>
      <c r="J31" s="628">
        <v>2.4729999999999999E-5</v>
      </c>
      <c r="K31" s="628">
        <v>3.1059999999999998E-9</v>
      </c>
      <c r="L31" s="625"/>
    </row>
    <row r="32" spans="2:12" x14ac:dyDescent="0.35">
      <c r="B32" s="630" t="s">
        <v>297</v>
      </c>
      <c r="C32" s="630"/>
      <c r="D32" s="630"/>
      <c r="E32" s="630"/>
      <c r="F32" s="627">
        <f t="shared" si="2"/>
        <v>5.9080000000000001E-3</v>
      </c>
      <c r="G32" s="631">
        <v>5.9079999999999999E-9</v>
      </c>
      <c r="H32" s="627">
        <v>1.435E-6</v>
      </c>
      <c r="I32" s="628">
        <v>9.645E-11</v>
      </c>
      <c r="J32" s="628">
        <v>5.0689999999999997E-5</v>
      </c>
      <c r="K32" s="628">
        <v>6.499E-9</v>
      </c>
      <c r="L32" s="625"/>
    </row>
    <row r="33" spans="2:12" x14ac:dyDescent="0.35">
      <c r="B33" s="625" t="s">
        <v>298</v>
      </c>
      <c r="C33" s="625"/>
      <c r="D33" s="626"/>
      <c r="E33" s="626"/>
      <c r="F33" s="627">
        <f t="shared" si="2"/>
        <v>2.9619999999999998E-3</v>
      </c>
      <c r="G33" s="627">
        <v>2.9619999999999999E-9</v>
      </c>
      <c r="H33" s="629">
        <v>6.3020000000000002E-7</v>
      </c>
      <c r="I33" s="628">
        <v>4.2339999999999999E-11</v>
      </c>
      <c r="J33" s="628">
        <v>2.226E-5</v>
      </c>
      <c r="K33" s="628">
        <v>3.2580000000000001E-9</v>
      </c>
      <c r="L33" s="625"/>
    </row>
    <row r="34" spans="2:12" x14ac:dyDescent="0.35">
      <c r="B34" s="625" t="s">
        <v>299</v>
      </c>
      <c r="C34" s="625"/>
      <c r="D34" s="626"/>
      <c r="E34" s="626"/>
      <c r="F34" s="627">
        <f t="shared" si="2"/>
        <v>0.43770000000000003</v>
      </c>
      <c r="G34" s="627">
        <v>4.3770000000000001E-7</v>
      </c>
      <c r="H34" s="627">
        <v>1.751E-4</v>
      </c>
      <c r="I34" s="628">
        <v>1.1760000000000001E-8</v>
      </c>
      <c r="J34" s="628">
        <v>6.182E-3</v>
      </c>
      <c r="K34" s="628">
        <v>4.8139999999999996E-7</v>
      </c>
      <c r="L34" s="625"/>
    </row>
    <row r="35" spans="2:12" x14ac:dyDescent="0.35">
      <c r="B35" s="625" t="s">
        <v>300</v>
      </c>
      <c r="C35" s="625"/>
      <c r="D35" s="626"/>
      <c r="E35" s="626"/>
      <c r="F35" s="627">
        <f t="shared" si="2"/>
        <v>5.9200000000000003E-2</v>
      </c>
      <c r="G35" s="627">
        <v>5.9200000000000001E-8</v>
      </c>
      <c r="H35" s="627">
        <v>2.4510000000000001E-5</v>
      </c>
      <c r="I35" s="628">
        <v>1.647E-9</v>
      </c>
      <c r="J35" s="628">
        <v>8.6549999999999995E-4</v>
      </c>
      <c r="K35" s="628">
        <v>6.5120000000000003E-8</v>
      </c>
      <c r="L35" s="625"/>
    </row>
    <row r="36" spans="2:12" x14ac:dyDescent="0.35">
      <c r="B36" s="625" t="s">
        <v>301</v>
      </c>
      <c r="C36" s="625"/>
      <c r="D36" s="626"/>
      <c r="E36" s="626"/>
      <c r="F36" s="627">
        <f t="shared" si="2"/>
        <v>4.8680000000000001E-2</v>
      </c>
      <c r="G36" s="627">
        <v>4.8680000000000003E-8</v>
      </c>
      <c r="H36" s="627">
        <v>2.2059999999999999E-5</v>
      </c>
      <c r="I36" s="628">
        <v>1.4820000000000001E-9</v>
      </c>
      <c r="J36" s="628">
        <v>7.7890000000000001E-4</v>
      </c>
      <c r="K36" s="628">
        <v>5.355E-8</v>
      </c>
      <c r="L36" s="625"/>
    </row>
    <row r="37" spans="2:12" x14ac:dyDescent="0.35">
      <c r="B37" s="625" t="s">
        <v>302</v>
      </c>
      <c r="C37" s="625"/>
      <c r="D37" s="626"/>
      <c r="E37" s="626"/>
      <c r="F37" s="627">
        <f t="shared" si="2"/>
        <v>2.1610000000000001E-2</v>
      </c>
      <c r="G37" s="627">
        <v>2.161E-8</v>
      </c>
      <c r="H37" s="627">
        <v>6.652E-6</v>
      </c>
      <c r="I37" s="628">
        <v>4.4700000000000001E-10</v>
      </c>
      <c r="J37" s="628">
        <v>2.3489999999999999E-4</v>
      </c>
      <c r="K37" s="628">
        <v>2.377E-8</v>
      </c>
      <c r="L37" s="625"/>
    </row>
    <row r="38" spans="2:12" x14ac:dyDescent="0.35">
      <c r="B38" s="625" t="s">
        <v>303</v>
      </c>
      <c r="C38" s="625"/>
      <c r="D38" s="626"/>
      <c r="E38" s="626"/>
      <c r="F38" s="627">
        <f t="shared" si="2"/>
        <v>0.12509999999999999</v>
      </c>
      <c r="G38" s="627">
        <v>1.251E-7</v>
      </c>
      <c r="H38" s="627">
        <v>3.8510000000000002E-5</v>
      </c>
      <c r="I38" s="628">
        <v>2.5880000000000002E-9</v>
      </c>
      <c r="J38" s="628">
        <v>1.3600000000000001E-3</v>
      </c>
      <c r="K38" s="628">
        <v>1.3759999999999999E-7</v>
      </c>
      <c r="L38" s="625"/>
    </row>
    <row r="39" spans="2:12" x14ac:dyDescent="0.35">
      <c r="B39" s="625" t="s">
        <v>304</v>
      </c>
      <c r="C39" s="625"/>
      <c r="D39" s="626"/>
      <c r="E39" s="626"/>
      <c r="F39" s="627">
        <f t="shared" si="2"/>
        <v>7.3959999999999998E-2</v>
      </c>
      <c r="G39" s="627">
        <v>7.3959999999999995E-8</v>
      </c>
      <c r="H39" s="627">
        <v>1.0849999999999999E-5</v>
      </c>
      <c r="I39" s="628">
        <v>7.2920000000000003E-10</v>
      </c>
      <c r="J39" s="628">
        <v>3.8329999999999999E-4</v>
      </c>
      <c r="K39" s="628">
        <v>8.1349999999999997E-8</v>
      </c>
      <c r="L39" s="625"/>
    </row>
    <row r="40" spans="2:12" x14ac:dyDescent="0.35">
      <c r="B40" s="625" t="s">
        <v>305</v>
      </c>
      <c r="C40" s="625"/>
      <c r="D40" s="626"/>
      <c r="E40" s="626"/>
      <c r="F40" s="627">
        <f t="shared" si="2"/>
        <v>4.2319999999999997E-2</v>
      </c>
      <c r="G40" s="627">
        <v>4.2319999999999998E-8</v>
      </c>
      <c r="H40" s="627">
        <v>1.751E-5</v>
      </c>
      <c r="I40" s="628">
        <v>1.1760000000000001E-9</v>
      </c>
      <c r="J40" s="628">
        <v>6.1819999999999996E-4</v>
      </c>
      <c r="K40" s="628">
        <v>4.6550000000000003E-8</v>
      </c>
      <c r="L40" s="625"/>
    </row>
    <row r="41" spans="2:12" x14ac:dyDescent="0.35">
      <c r="B41" s="625" t="s">
        <v>306</v>
      </c>
      <c r="C41" s="625"/>
      <c r="D41" s="626"/>
      <c r="E41" s="626"/>
      <c r="F41" s="627">
        <f t="shared" si="2"/>
        <v>6.43E-3</v>
      </c>
      <c r="G41" s="627">
        <v>6.4300000000000003E-9</v>
      </c>
      <c r="H41" s="627">
        <v>2.0310000000000001E-6</v>
      </c>
      <c r="I41" s="628">
        <v>1.3639999999999999E-10</v>
      </c>
      <c r="J41" s="628">
        <v>7.1710000000000003E-5</v>
      </c>
      <c r="K41" s="628">
        <v>7.0729999999999999E-9</v>
      </c>
      <c r="L41" s="625"/>
    </row>
    <row r="42" spans="2:12" x14ac:dyDescent="0.35">
      <c r="B42" s="625" t="s">
        <v>307</v>
      </c>
      <c r="C42" s="625"/>
      <c r="D42" s="626"/>
      <c r="E42" s="626"/>
      <c r="F42" s="627">
        <f t="shared" si="2"/>
        <v>0.57100000000000006</v>
      </c>
      <c r="G42" s="627">
        <v>5.7100000000000002E-7</v>
      </c>
      <c r="H42" s="627">
        <v>4.9019999999999999E-4</v>
      </c>
      <c r="I42" s="628">
        <v>3.2929999999999998E-8</v>
      </c>
      <c r="J42" s="628">
        <v>1.7309999999999999E-2</v>
      </c>
      <c r="K42" s="628">
        <v>6.2809999999999997E-7</v>
      </c>
      <c r="L42" s="625"/>
    </row>
    <row r="43" spans="2:12" x14ac:dyDescent="0.35">
      <c r="B43" s="625" t="s">
        <v>308</v>
      </c>
      <c r="C43" s="625"/>
      <c r="D43" s="626"/>
      <c r="E43" s="626"/>
      <c r="F43" s="627">
        <f t="shared" si="2"/>
        <v>8.9610000000000004E-5</v>
      </c>
      <c r="G43" s="627">
        <v>8.9610000000000001E-11</v>
      </c>
      <c r="H43" s="627">
        <v>1.4E-8</v>
      </c>
      <c r="I43" s="628">
        <v>9.4099999999999993E-13</v>
      </c>
      <c r="J43" s="628">
        <v>4.946E-7</v>
      </c>
      <c r="K43" s="628">
        <v>9.8570000000000002E-11</v>
      </c>
      <c r="L43" s="625"/>
    </row>
    <row r="44" spans="2:12" x14ac:dyDescent="0.35">
      <c r="B44" s="625" t="s">
        <v>309</v>
      </c>
      <c r="C44" s="625"/>
      <c r="D44" s="626"/>
      <c r="E44" s="626"/>
      <c r="F44" s="627">
        <f t="shared" si="2"/>
        <v>4.2859999999999999E-3</v>
      </c>
      <c r="G44" s="627">
        <v>4.2860000000000003E-9</v>
      </c>
      <c r="H44" s="627">
        <v>1.716E-6</v>
      </c>
      <c r="I44" s="628">
        <v>1.1530000000000001E-10</v>
      </c>
      <c r="J44" s="628">
        <v>6.0579999999999999E-5</v>
      </c>
      <c r="K44" s="628">
        <v>4.7150000000000004E-9</v>
      </c>
      <c r="L44" s="625"/>
    </row>
    <row r="45" spans="2:12" x14ac:dyDescent="0.35">
      <c r="B45" s="625" t="s">
        <v>310</v>
      </c>
      <c r="C45" s="625"/>
      <c r="D45" s="626"/>
      <c r="E45" s="626"/>
      <c r="F45" s="627">
        <f t="shared" si="2"/>
        <v>4.0980000000000001E-3</v>
      </c>
      <c r="G45" s="627">
        <v>4.0979999999999997E-9</v>
      </c>
      <c r="H45" s="627">
        <v>8.7530000000000001E-7</v>
      </c>
      <c r="I45" s="628">
        <v>5.8810000000000002E-11</v>
      </c>
      <c r="J45" s="628">
        <v>3.0910000000000001E-5</v>
      </c>
      <c r="K45" s="628">
        <v>4.5079999999999997E-9</v>
      </c>
      <c r="L45" s="625"/>
    </row>
    <row r="46" spans="2:12" x14ac:dyDescent="0.35">
      <c r="B46" s="625" t="s">
        <v>311</v>
      </c>
      <c r="C46" s="625"/>
      <c r="D46" s="626"/>
      <c r="E46" s="626"/>
      <c r="F46" s="627">
        <f t="shared" si="2"/>
        <v>1.6369999999999999E-2</v>
      </c>
      <c r="G46" s="627">
        <v>1.637E-8</v>
      </c>
      <c r="H46" s="627">
        <v>4.5510000000000001E-6</v>
      </c>
      <c r="I46" s="628">
        <v>3.0580000000000002E-10</v>
      </c>
      <c r="J46" s="628">
        <v>1.607E-4</v>
      </c>
      <c r="K46" s="628">
        <v>1.801E-8</v>
      </c>
      <c r="L46" s="625"/>
    </row>
    <row r="47" spans="2:12" x14ac:dyDescent="0.35">
      <c r="B47" s="625" t="s">
        <v>312</v>
      </c>
      <c r="C47" s="625"/>
      <c r="D47" s="626"/>
      <c r="E47" s="626"/>
      <c r="F47" s="627">
        <f t="shared" si="2"/>
        <v>1.221E-2</v>
      </c>
      <c r="G47" s="627">
        <v>1.221E-8</v>
      </c>
      <c r="H47" s="627">
        <v>4.5510000000000001E-6</v>
      </c>
      <c r="I47" s="628">
        <v>3.0580000000000002E-10</v>
      </c>
      <c r="J47" s="628">
        <v>1.607E-4</v>
      </c>
      <c r="K47" s="628">
        <v>1.344E-8</v>
      </c>
      <c r="L47" s="625"/>
    </row>
    <row r="48" spans="2:12" x14ac:dyDescent="0.35">
      <c r="B48" s="625" t="s">
        <v>313</v>
      </c>
      <c r="C48" s="625"/>
      <c r="D48" s="626"/>
      <c r="E48" s="626"/>
      <c r="F48" s="627">
        <f t="shared" si="2"/>
        <v>5.2159999999999999E-4</v>
      </c>
      <c r="G48" s="627">
        <v>5.2160000000000004E-10</v>
      </c>
      <c r="H48" s="627">
        <v>1.05E-7</v>
      </c>
      <c r="I48" s="628">
        <v>7.0570000000000003E-12</v>
      </c>
      <c r="J48" s="628">
        <v>3.709E-6</v>
      </c>
      <c r="K48" s="628">
        <v>5.7369999999999999E-10</v>
      </c>
      <c r="L48" s="625"/>
    </row>
    <row r="49" spans="2:12" x14ac:dyDescent="0.35">
      <c r="B49" s="625" t="s">
        <v>314</v>
      </c>
      <c r="C49" s="625"/>
      <c r="D49" s="626"/>
      <c r="E49" s="626"/>
      <c r="F49" s="627">
        <f t="shared" si="2"/>
        <v>8.823000000000001E-3</v>
      </c>
      <c r="G49" s="627">
        <v>8.8230000000000007E-9</v>
      </c>
      <c r="H49" s="627">
        <v>4.2010000000000001E-6</v>
      </c>
      <c r="I49" s="628">
        <v>2.823E-10</v>
      </c>
      <c r="J49" s="628">
        <v>1.484E-4</v>
      </c>
      <c r="K49" s="628">
        <v>9.7049999999999999E-9</v>
      </c>
      <c r="L49" s="625"/>
    </row>
    <row r="50" spans="2:12" x14ac:dyDescent="0.35">
      <c r="B50" s="625" t="s">
        <v>315</v>
      </c>
      <c r="C50" s="625"/>
      <c r="D50" s="626"/>
      <c r="E50" s="626"/>
      <c r="F50" s="627">
        <f t="shared" si="2"/>
        <v>4.4949999999999999E-3</v>
      </c>
      <c r="G50" s="627">
        <v>4.4949999999999999E-9</v>
      </c>
      <c r="H50" s="627">
        <v>7.3519999999999997E-7</v>
      </c>
      <c r="I50" s="628">
        <v>4.9399999999999999E-11</v>
      </c>
      <c r="J50" s="628">
        <v>2.5959999999999999E-5</v>
      </c>
      <c r="K50" s="628">
        <v>4.9449999999999998E-9</v>
      </c>
      <c r="L50" s="625"/>
    </row>
    <row r="51" spans="2:12" x14ac:dyDescent="0.35">
      <c r="B51" s="625" t="s">
        <v>316</v>
      </c>
      <c r="C51" s="625"/>
      <c r="D51" s="626"/>
      <c r="E51" s="626"/>
      <c r="F51" s="627">
        <f t="shared" si="2"/>
        <v>0.28170000000000001</v>
      </c>
      <c r="G51" s="627">
        <v>2.8169999999999999E-7</v>
      </c>
      <c r="H51" s="627">
        <v>5.6020000000000002E-5</v>
      </c>
      <c r="I51" s="628">
        <v>3.7639999999999998E-9</v>
      </c>
      <c r="J51" s="628">
        <v>1.9780000000000002E-3</v>
      </c>
      <c r="K51" s="628">
        <v>3.0989999999999999E-7</v>
      </c>
      <c r="L51" s="625"/>
    </row>
    <row r="52" spans="2:12" x14ac:dyDescent="0.35">
      <c r="B52" s="625" t="s">
        <v>317</v>
      </c>
      <c r="C52" s="625"/>
      <c r="D52" s="626"/>
      <c r="E52" s="626"/>
      <c r="F52" s="627">
        <f t="shared" si="2"/>
        <v>3.8969999999999998E-2</v>
      </c>
      <c r="G52" s="627">
        <v>3.8969999999999998E-8</v>
      </c>
      <c r="H52" s="627">
        <v>9.1030000000000008E-6</v>
      </c>
      <c r="I52" s="628">
        <v>6.1160000000000004E-10</v>
      </c>
      <c r="J52" s="628">
        <v>3.2150000000000001E-4</v>
      </c>
      <c r="K52" s="628">
        <v>4.2860000000000001E-8</v>
      </c>
      <c r="L52" s="625"/>
    </row>
    <row r="53" spans="2:12" x14ac:dyDescent="0.35">
      <c r="B53" s="625" t="s">
        <v>318</v>
      </c>
      <c r="C53" s="625"/>
      <c r="D53" s="626"/>
      <c r="E53" s="626"/>
      <c r="F53" s="627">
        <f t="shared" si="2"/>
        <v>0.17319999999999999</v>
      </c>
      <c r="G53" s="627">
        <v>1.7319999999999999E-7</v>
      </c>
      <c r="H53" s="627">
        <v>4.9020000000000002E-5</v>
      </c>
      <c r="I53" s="628">
        <v>3.2930000000000001E-9</v>
      </c>
      <c r="J53" s="628">
        <v>1.7309999999999999E-3</v>
      </c>
      <c r="K53" s="628">
        <v>1.9049999999999999E-7</v>
      </c>
      <c r="L53" s="625"/>
    </row>
    <row r="54" spans="2:12" x14ac:dyDescent="0.35">
      <c r="B54" s="625" t="s">
        <v>319</v>
      </c>
      <c r="C54" s="625"/>
      <c r="D54" s="626"/>
      <c r="E54" s="626"/>
      <c r="F54" s="627">
        <f t="shared" si="2"/>
        <v>7.0570000000000008E-2</v>
      </c>
      <c r="G54" s="627">
        <v>7.0570000000000003E-8</v>
      </c>
      <c r="H54" s="627">
        <v>2.7310000000000001E-5</v>
      </c>
      <c r="I54" s="628">
        <v>1.835E-9</v>
      </c>
      <c r="J54" s="628">
        <v>9.6440000000000002E-4</v>
      </c>
      <c r="K54" s="628">
        <v>7.7630000000000001E-8</v>
      </c>
      <c r="L54" s="625"/>
    </row>
    <row r="55" spans="2:12" x14ac:dyDescent="0.35">
      <c r="B55" s="625" t="s">
        <v>320</v>
      </c>
      <c r="C55" s="625"/>
      <c r="D55" s="626"/>
      <c r="E55" s="626"/>
      <c r="F55" s="627">
        <f t="shared" si="2"/>
        <v>3.8970000000000002</v>
      </c>
      <c r="G55" s="627">
        <v>3.8970000000000001E-6</v>
      </c>
      <c r="H55" s="627">
        <v>3.1159999999999998E-3</v>
      </c>
      <c r="I55" s="628">
        <v>2.0940000000000001E-7</v>
      </c>
      <c r="J55" s="628">
        <v>0.11</v>
      </c>
      <c r="K55" s="628">
        <v>4.2869999999999998E-6</v>
      </c>
      <c r="L55" s="625"/>
    </row>
    <row r="56" spans="2:12" x14ac:dyDescent="0.35">
      <c r="B56" s="625" t="s">
        <v>321</v>
      </c>
      <c r="C56" s="625"/>
      <c r="D56" s="626"/>
      <c r="E56" s="626"/>
      <c r="F56" s="627">
        <f t="shared" si="2"/>
        <v>0.1812</v>
      </c>
      <c r="G56" s="627">
        <v>1.8120000000000001E-7</v>
      </c>
      <c r="H56" s="627">
        <v>9.4530000000000005E-5</v>
      </c>
      <c r="I56" s="628">
        <v>6.3510000000000001E-9</v>
      </c>
      <c r="J56" s="628">
        <v>3.3379999999999998E-3</v>
      </c>
      <c r="K56" s="628">
        <v>1.9929999999999999E-7</v>
      </c>
      <c r="L56" s="625"/>
    </row>
    <row r="57" spans="2:12" x14ac:dyDescent="0.35">
      <c r="B57" s="625" t="s">
        <v>322</v>
      </c>
      <c r="C57" s="625"/>
      <c r="D57" s="626"/>
      <c r="E57" s="626"/>
      <c r="F57" s="627">
        <f t="shared" si="2"/>
        <v>2.0809999999999999E-2</v>
      </c>
      <c r="G57" s="627">
        <v>2.0809999999999999E-8</v>
      </c>
      <c r="H57" s="627">
        <v>8.0530000000000007E-6</v>
      </c>
      <c r="I57" s="628">
        <v>5.4099999999999999E-10</v>
      </c>
      <c r="J57" s="628">
        <v>2.8439999999999997E-4</v>
      </c>
      <c r="K57" s="628">
        <v>2.2889999999999999E-8</v>
      </c>
      <c r="L57" s="625"/>
    </row>
    <row r="58" spans="2:12" x14ac:dyDescent="0.35">
      <c r="B58" s="625" t="s">
        <v>323</v>
      </c>
      <c r="C58" s="625"/>
      <c r="D58" s="626"/>
      <c r="E58" s="626"/>
      <c r="F58" s="627">
        <f t="shared" si="2"/>
        <v>7.1110000000000007E-2</v>
      </c>
      <c r="G58" s="627">
        <v>7.1110000000000006E-8</v>
      </c>
      <c r="H58" s="627">
        <v>1.611E-5</v>
      </c>
      <c r="I58" s="628">
        <v>1.082E-9</v>
      </c>
      <c r="J58" s="628">
        <v>5.687E-4</v>
      </c>
      <c r="K58" s="628">
        <v>7.8219999999999995E-8</v>
      </c>
      <c r="L58" s="625"/>
    </row>
    <row r="59" spans="2:12" x14ac:dyDescent="0.35">
      <c r="B59" s="625" t="s">
        <v>324</v>
      </c>
      <c r="C59" s="625"/>
      <c r="D59" s="626"/>
      <c r="E59" s="626"/>
      <c r="F59" s="627">
        <f t="shared" si="2"/>
        <v>2.7359999999999999E-5</v>
      </c>
      <c r="G59" s="627">
        <v>2.736E-11</v>
      </c>
      <c r="H59" s="627">
        <v>3.5009999999999998E-9</v>
      </c>
      <c r="I59" s="628">
        <v>2.352E-13</v>
      </c>
      <c r="J59" s="628">
        <v>1.236E-7</v>
      </c>
      <c r="K59" s="628">
        <v>3.0099999999999998E-11</v>
      </c>
      <c r="L59" s="625"/>
    </row>
    <row r="60" spans="2:12" x14ac:dyDescent="0.35">
      <c r="B60" s="625" t="s">
        <v>325</v>
      </c>
      <c r="C60" s="625"/>
      <c r="D60" s="626"/>
      <c r="E60" s="626"/>
      <c r="F60" s="627">
        <f t="shared" si="2"/>
        <v>1.52E-2</v>
      </c>
      <c r="G60" s="627">
        <v>1.52E-8</v>
      </c>
      <c r="H60" s="627">
        <v>2.661E-6</v>
      </c>
      <c r="I60" s="628">
        <v>1.7879999999999999E-10</v>
      </c>
      <c r="J60" s="628">
        <v>9.3969999999999996E-5</v>
      </c>
      <c r="K60" s="628">
        <v>1.672E-8</v>
      </c>
      <c r="L60" s="625"/>
    </row>
    <row r="61" spans="2:12" x14ac:dyDescent="0.35">
      <c r="B61" s="625" t="s">
        <v>326</v>
      </c>
      <c r="C61" s="625"/>
      <c r="D61" s="626"/>
      <c r="E61" s="626"/>
      <c r="F61" s="627">
        <f t="shared" si="2"/>
        <v>8.2830000000000001E-2</v>
      </c>
      <c r="G61" s="627">
        <v>8.2829999999999995E-8</v>
      </c>
      <c r="H61" s="627">
        <v>2.3110000000000001E-5</v>
      </c>
      <c r="I61" s="628">
        <v>1.5529999999999999E-9</v>
      </c>
      <c r="J61" s="628">
        <v>8.1599999999999999E-4</v>
      </c>
      <c r="K61" s="628">
        <v>9.111E-8</v>
      </c>
      <c r="L61" s="625"/>
    </row>
    <row r="62" spans="2:12" x14ac:dyDescent="0.35">
      <c r="B62" s="625" t="s">
        <v>327</v>
      </c>
      <c r="C62" s="625"/>
      <c r="D62" s="626"/>
      <c r="E62" s="626"/>
      <c r="F62" s="627">
        <f t="shared" si="2"/>
        <v>0.1787</v>
      </c>
      <c r="G62" s="627">
        <v>1.7870000000000001E-7</v>
      </c>
      <c r="H62" s="627">
        <v>1.26E-4</v>
      </c>
      <c r="I62" s="628">
        <v>8.4689999999999996E-9</v>
      </c>
      <c r="J62" s="628">
        <v>4.4510000000000001E-3</v>
      </c>
      <c r="K62" s="628">
        <v>1.9649999999999999E-7</v>
      </c>
      <c r="L62" s="625"/>
    </row>
    <row r="63" spans="2:12" x14ac:dyDescent="0.35">
      <c r="B63" s="625" t="s">
        <v>328</v>
      </c>
      <c r="C63" s="625"/>
      <c r="D63" s="626"/>
      <c r="E63" s="626"/>
      <c r="F63" s="627">
        <f t="shared" si="2"/>
        <v>8.4719999999999995E-6</v>
      </c>
      <c r="G63" s="627">
        <v>8.4720000000000003E-12</v>
      </c>
      <c r="H63" s="627">
        <v>1.0149999999999999E-9</v>
      </c>
      <c r="I63" s="628">
        <v>6.8219999999999999E-14</v>
      </c>
      <c r="J63" s="628">
        <v>3.5859999999999998E-8</v>
      </c>
      <c r="K63" s="628">
        <v>9.3189999999999994E-12</v>
      </c>
      <c r="L63" s="625"/>
    </row>
    <row r="64" spans="2:12" x14ac:dyDescent="0.35">
      <c r="B64" s="625" t="s">
        <v>329</v>
      </c>
      <c r="C64" s="625"/>
      <c r="D64" s="626"/>
      <c r="E64" s="626"/>
      <c r="F64" s="627">
        <f t="shared" si="2"/>
        <v>7.4550000000000005E-2</v>
      </c>
      <c r="G64" s="627">
        <v>7.4550000000000003E-8</v>
      </c>
      <c r="H64" s="627">
        <v>2.4859999999999999E-5</v>
      </c>
      <c r="I64" s="628">
        <v>1.67E-9</v>
      </c>
      <c r="J64" s="628">
        <v>8.7790000000000003E-4</v>
      </c>
      <c r="K64" s="628">
        <v>8.2010000000000004E-8</v>
      </c>
      <c r="L64" s="625"/>
    </row>
    <row r="65" spans="2:12" x14ac:dyDescent="0.35">
      <c r="B65" s="625" t="s">
        <v>330</v>
      </c>
      <c r="C65" s="625"/>
      <c r="D65" s="626"/>
      <c r="E65" s="626"/>
      <c r="F65" s="627">
        <f t="shared" si="2"/>
        <v>2.7710000000000002E-2</v>
      </c>
      <c r="G65" s="627">
        <v>2.7710000000000001E-8</v>
      </c>
      <c r="H65" s="627">
        <v>6.652E-6</v>
      </c>
      <c r="I65" s="628">
        <v>4.4700000000000001E-10</v>
      </c>
      <c r="J65" s="628">
        <v>2.3489999999999999E-4</v>
      </c>
      <c r="K65" s="628">
        <v>3.0479999999999999E-8</v>
      </c>
      <c r="L65" s="625"/>
    </row>
    <row r="66" spans="2:12" x14ac:dyDescent="0.35">
      <c r="B66" s="625" t="s">
        <v>331</v>
      </c>
      <c r="C66" s="625"/>
      <c r="D66" s="626"/>
      <c r="E66" s="626"/>
      <c r="F66" s="627">
        <f t="shared" si="2"/>
        <v>1.7509999999999998E-2</v>
      </c>
      <c r="G66" s="627">
        <v>1.7509999999999999E-8</v>
      </c>
      <c r="H66" s="627">
        <v>8.7530000000000007E-6</v>
      </c>
      <c r="I66" s="628">
        <v>5.8809999999999996E-10</v>
      </c>
      <c r="J66" s="628">
        <v>3.0909999999999998E-4</v>
      </c>
      <c r="K66" s="628">
        <v>1.927E-8</v>
      </c>
      <c r="L66" s="625"/>
    </row>
    <row r="67" spans="2:12" x14ac:dyDescent="0.35">
      <c r="B67" s="625" t="s">
        <v>332</v>
      </c>
      <c r="C67" s="625"/>
      <c r="D67" s="626"/>
      <c r="E67" s="626"/>
      <c r="F67" s="627">
        <f t="shared" si="2"/>
        <v>3.4669999999999999E-2</v>
      </c>
      <c r="G67" s="627">
        <v>3.4669999999999999E-8</v>
      </c>
      <c r="H67" s="627">
        <v>1.155E-5</v>
      </c>
      <c r="I67" s="628">
        <v>7.763E-10</v>
      </c>
      <c r="J67" s="628">
        <v>4.08E-4</v>
      </c>
      <c r="K67" s="628">
        <v>3.8140000000000003E-8</v>
      </c>
      <c r="L67" s="625"/>
    </row>
    <row r="68" spans="2:12" x14ac:dyDescent="0.35">
      <c r="B68" s="625" t="s">
        <v>333</v>
      </c>
      <c r="C68" s="625"/>
      <c r="D68" s="626"/>
      <c r="E68" s="626"/>
      <c r="F68" s="627">
        <f t="shared" si="2"/>
        <v>8.9349999999999999E-2</v>
      </c>
      <c r="G68" s="627">
        <v>8.9350000000000003E-8</v>
      </c>
      <c r="H68" s="627">
        <v>1.295E-5</v>
      </c>
      <c r="I68" s="628">
        <v>8.7040000000000001E-10</v>
      </c>
      <c r="J68" s="628">
        <v>4.5750000000000001E-4</v>
      </c>
      <c r="K68" s="628">
        <v>9.8280000000000004E-8</v>
      </c>
      <c r="L68" s="625"/>
    </row>
    <row r="69" spans="2:12" x14ac:dyDescent="0.35">
      <c r="B69" s="625" t="s">
        <v>334</v>
      </c>
      <c r="C69" s="625"/>
      <c r="D69" s="626"/>
      <c r="E69" s="626"/>
      <c r="F69" s="627">
        <f t="shared" si="2"/>
        <v>7.0620000000000002E-2</v>
      </c>
      <c r="G69" s="627">
        <v>7.0620000000000006E-8</v>
      </c>
      <c r="H69" s="627">
        <v>3.8510000000000002E-5</v>
      </c>
      <c r="I69" s="628">
        <v>2.5880000000000002E-9</v>
      </c>
      <c r="J69" s="628">
        <v>1.3600000000000001E-3</v>
      </c>
      <c r="K69" s="628">
        <v>7.7690000000000003E-8</v>
      </c>
      <c r="L69" s="625"/>
    </row>
    <row r="70" spans="2:12" x14ac:dyDescent="0.35">
      <c r="B70" s="625" t="s">
        <v>335</v>
      </c>
      <c r="C70" s="625"/>
      <c r="D70" s="626"/>
      <c r="E70" s="626"/>
      <c r="F70" s="627">
        <f t="shared" si="2"/>
        <v>3.9529999999999996E-2</v>
      </c>
      <c r="G70" s="627">
        <v>3.9529999999999997E-8</v>
      </c>
      <c r="H70" s="627">
        <v>9.8030000000000008E-6</v>
      </c>
      <c r="I70" s="628">
        <v>6.5870000000000001E-10</v>
      </c>
      <c r="J70" s="628">
        <v>3.4620000000000001E-4</v>
      </c>
      <c r="K70" s="628">
        <v>4.3480000000000003E-8</v>
      </c>
      <c r="L70" s="625"/>
    </row>
    <row r="71" spans="2:12" x14ac:dyDescent="0.35">
      <c r="B71" s="625" t="s">
        <v>336</v>
      </c>
      <c r="C71" s="625"/>
      <c r="D71" s="626"/>
      <c r="E71" s="626"/>
      <c r="F71" s="627">
        <f t="shared" si="2"/>
        <v>0.5232</v>
      </c>
      <c r="G71" s="627">
        <v>5.2320000000000003E-7</v>
      </c>
      <c r="H71" s="627">
        <v>1.3650000000000001E-4</v>
      </c>
      <c r="I71" s="628">
        <v>9.174E-9</v>
      </c>
      <c r="J71" s="628">
        <v>4.8219999999999999E-3</v>
      </c>
      <c r="K71" s="628">
        <v>5.7550000000000004E-7</v>
      </c>
      <c r="L71" s="625"/>
    </row>
    <row r="72" spans="2:12" x14ac:dyDescent="0.35">
      <c r="B72" s="625" t="s">
        <v>337</v>
      </c>
      <c r="C72" s="625"/>
      <c r="D72" s="626"/>
      <c r="E72" s="626"/>
      <c r="F72" s="627">
        <f t="shared" si="2"/>
        <v>2.2809999999999997</v>
      </c>
      <c r="G72" s="627">
        <v>2.2809999999999998E-6</v>
      </c>
      <c r="H72" s="627">
        <v>5.9520000000000005E-4</v>
      </c>
      <c r="I72" s="628">
        <v>3.9990000000000003E-8</v>
      </c>
      <c r="J72" s="628">
        <v>2.102E-2</v>
      </c>
      <c r="K72" s="628">
        <v>2.509E-6</v>
      </c>
      <c r="L72" s="625"/>
    </row>
    <row r="73" spans="2:12" x14ac:dyDescent="0.35">
      <c r="B73" s="625" t="s">
        <v>338</v>
      </c>
      <c r="C73" s="625"/>
      <c r="D73" s="626"/>
      <c r="E73" s="626"/>
      <c r="F73" s="627">
        <f t="shared" si="2"/>
        <v>5.3580000000000003E-2</v>
      </c>
      <c r="G73" s="627">
        <v>5.3580000000000001E-8</v>
      </c>
      <c r="H73" s="627">
        <v>9.8030000000000008E-6</v>
      </c>
      <c r="I73" s="628">
        <v>6.5870000000000001E-10</v>
      </c>
      <c r="J73" s="628">
        <v>3.4620000000000001E-4</v>
      </c>
      <c r="K73" s="628">
        <v>5.8929999999999999E-8</v>
      </c>
      <c r="L73" s="625"/>
    </row>
    <row r="74" spans="2:12" x14ac:dyDescent="0.35">
      <c r="B74" s="625" t="s">
        <v>339</v>
      </c>
      <c r="C74" s="625"/>
      <c r="D74" s="626"/>
      <c r="E74" s="626"/>
      <c r="F74" s="627">
        <f t="shared" si="2"/>
        <v>6.6439999999999999E-2</v>
      </c>
      <c r="G74" s="627">
        <v>6.6440000000000005E-8</v>
      </c>
      <c r="H74" s="627">
        <v>2.5559999999999999E-5</v>
      </c>
      <c r="I74" s="628">
        <v>1.717E-9</v>
      </c>
      <c r="J74" s="628">
        <v>9.0260000000000004E-4</v>
      </c>
      <c r="K74" s="628">
        <v>7.3080000000000003E-8</v>
      </c>
      <c r="L74" s="625"/>
    </row>
    <row r="75" spans="2:12" x14ac:dyDescent="0.35">
      <c r="B75" s="625" t="s">
        <v>340</v>
      </c>
      <c r="C75" s="625"/>
      <c r="D75" s="626"/>
      <c r="E75" s="626"/>
      <c r="F75" s="627">
        <f t="shared" si="2"/>
        <v>0.1855</v>
      </c>
      <c r="G75" s="627">
        <v>1.8549999999999999E-7</v>
      </c>
      <c r="H75" s="627">
        <v>4.2009999999999999E-5</v>
      </c>
      <c r="I75" s="628">
        <v>2.8229999999999999E-9</v>
      </c>
      <c r="J75" s="628">
        <v>1.4840000000000001E-3</v>
      </c>
      <c r="K75" s="628">
        <v>2.0410000000000001E-7</v>
      </c>
      <c r="L75" s="625"/>
    </row>
    <row r="77" spans="2:12" x14ac:dyDescent="0.35">
      <c r="B77" s="717"/>
      <c r="C77" s="717"/>
      <c r="D77" s="717"/>
      <c r="E77" s="717"/>
      <c r="F77" s="717"/>
      <c r="G77" s="717"/>
      <c r="H77" s="717"/>
      <c r="I77" s="717"/>
      <c r="J77" s="717"/>
      <c r="K77" s="717"/>
      <c r="L77" s="717"/>
    </row>
    <row r="79" spans="2:12" x14ac:dyDescent="0.35">
      <c r="B79" s="720" t="s">
        <v>341</v>
      </c>
      <c r="C79" s="721"/>
      <c r="D79" s="721"/>
      <c r="E79" s="721"/>
      <c r="F79" s="721"/>
      <c r="G79" s="721"/>
      <c r="H79" s="721"/>
      <c r="I79" s="721"/>
      <c r="J79" s="721"/>
      <c r="K79" s="721"/>
      <c r="L79" s="721"/>
    </row>
    <row r="81" spans="2:12" x14ac:dyDescent="0.35">
      <c r="B81" s="632" t="s">
        <v>279</v>
      </c>
      <c r="C81" s="632">
        <v>2022</v>
      </c>
      <c r="D81" s="633"/>
      <c r="E81" s="633"/>
      <c r="F81" s="633"/>
      <c r="G81" s="633"/>
      <c r="H81" s="633"/>
      <c r="I81" s="299"/>
      <c r="J81" s="299"/>
      <c r="K81" s="299"/>
      <c r="L81" s="299"/>
    </row>
    <row r="82" spans="2:12" x14ac:dyDescent="0.35">
      <c r="B82" s="299"/>
      <c r="C82" s="299"/>
      <c r="D82" s="633"/>
      <c r="E82" s="633"/>
      <c r="F82" s="633"/>
      <c r="G82" s="633"/>
      <c r="H82" s="633"/>
      <c r="I82" s="299"/>
      <c r="J82" s="299"/>
      <c r="K82" s="299"/>
      <c r="L82" s="299"/>
    </row>
    <row r="83" spans="2:12" x14ac:dyDescent="0.35">
      <c r="B83" s="299" t="s">
        <v>281</v>
      </c>
      <c r="C83" s="299"/>
      <c r="D83" s="633"/>
      <c r="E83" s="633"/>
      <c r="F83" s="722" t="s">
        <v>342</v>
      </c>
      <c r="G83" s="722"/>
      <c r="H83" s="722"/>
      <c r="I83" s="722"/>
      <c r="J83" s="722"/>
      <c r="K83" s="722"/>
      <c r="L83" s="299"/>
    </row>
    <row r="84" spans="2:12" x14ac:dyDescent="0.35">
      <c r="B84" s="299"/>
      <c r="C84" s="299"/>
      <c r="D84" s="633"/>
      <c r="E84" s="633"/>
      <c r="F84" s="632" t="s">
        <v>283</v>
      </c>
      <c r="G84" s="632" t="s">
        <v>284</v>
      </c>
      <c r="H84" s="632" t="s">
        <v>285</v>
      </c>
      <c r="I84" s="639" t="s">
        <v>343</v>
      </c>
      <c r="J84" s="639" t="s">
        <v>287</v>
      </c>
      <c r="K84" s="639" t="s">
        <v>288</v>
      </c>
      <c r="L84" s="299"/>
    </row>
    <row r="85" spans="2:12" x14ac:dyDescent="0.35">
      <c r="B85" s="299" t="s">
        <v>289</v>
      </c>
      <c r="C85" s="299"/>
      <c r="D85" s="633"/>
      <c r="E85" s="633"/>
      <c r="F85" s="634">
        <f>G85*1000000</f>
        <v>133300</v>
      </c>
      <c r="G85" s="634">
        <v>0.1333</v>
      </c>
      <c r="H85" s="634">
        <v>106.8</v>
      </c>
      <c r="I85" s="635">
        <v>7.1729999999999997E-3</v>
      </c>
      <c r="J85" s="635">
        <v>3770</v>
      </c>
      <c r="K85" s="635">
        <v>0.1467</v>
      </c>
      <c r="L85" s="299"/>
    </row>
    <row r="86" spans="2:12" x14ac:dyDescent="0.35">
      <c r="B86" s="299" t="s">
        <v>290</v>
      </c>
      <c r="C86" s="299"/>
      <c r="D86" s="633"/>
      <c r="E86" s="633"/>
      <c r="F86" s="634">
        <f t="shared" ref="F86:F136" si="3">G86*1000000</f>
        <v>35610</v>
      </c>
      <c r="G86" s="634">
        <v>3.5610000000000003E-2</v>
      </c>
      <c r="H86" s="634">
        <v>53.38</v>
      </c>
      <c r="I86" s="635">
        <v>3.5869999999999999E-3</v>
      </c>
      <c r="J86" s="635">
        <v>1885</v>
      </c>
      <c r="K86" s="635">
        <v>3.9170000000000003E-2</v>
      </c>
      <c r="L86" s="299"/>
    </row>
    <row r="87" spans="2:12" x14ac:dyDescent="0.35">
      <c r="B87" s="299" t="s">
        <v>291</v>
      </c>
      <c r="C87" s="299"/>
      <c r="D87" s="633"/>
      <c r="E87" s="633"/>
      <c r="F87" s="634">
        <f t="shared" si="3"/>
        <v>97710</v>
      </c>
      <c r="G87" s="634">
        <v>9.7710000000000005E-2</v>
      </c>
      <c r="H87" s="634">
        <v>53.38</v>
      </c>
      <c r="I87" s="635">
        <v>3.5869999999999999E-3</v>
      </c>
      <c r="J87" s="635">
        <v>1885</v>
      </c>
      <c r="K87" s="635">
        <v>0.1075</v>
      </c>
      <c r="L87" s="299"/>
    </row>
    <row r="88" spans="2:12" x14ac:dyDescent="0.35">
      <c r="B88" s="299" t="s">
        <v>292</v>
      </c>
      <c r="C88" s="299"/>
      <c r="D88" s="633"/>
      <c r="E88" s="633"/>
      <c r="F88" s="634">
        <f t="shared" si="3"/>
        <v>1531</v>
      </c>
      <c r="G88" s="634">
        <v>1.531E-3</v>
      </c>
      <c r="H88" s="634">
        <v>0.42709999999999998</v>
      </c>
      <c r="I88" s="635">
        <v>2.8690000000000001E-5</v>
      </c>
      <c r="J88" s="635">
        <v>15.08</v>
      </c>
      <c r="K88" s="635">
        <v>1.684E-3</v>
      </c>
      <c r="L88" s="299"/>
    </row>
    <row r="89" spans="2:12" x14ac:dyDescent="0.35">
      <c r="B89" s="299" t="s">
        <v>293</v>
      </c>
      <c r="C89" s="299"/>
      <c r="D89" s="633"/>
      <c r="E89" s="633"/>
      <c r="F89" s="634">
        <f t="shared" si="3"/>
        <v>0.28439999999999999</v>
      </c>
      <c r="G89" s="634">
        <v>2.8439999999999998E-7</v>
      </c>
      <c r="H89" s="634">
        <v>5.1249999999999999E-5</v>
      </c>
      <c r="I89" s="635">
        <v>3.4429999999999998E-9</v>
      </c>
      <c r="J89" s="635">
        <v>1.81E-3</v>
      </c>
      <c r="K89" s="635">
        <v>3.128E-7</v>
      </c>
      <c r="L89" s="299"/>
    </row>
    <row r="90" spans="2:12" x14ac:dyDescent="0.35">
      <c r="B90" s="299" t="s">
        <v>294</v>
      </c>
      <c r="C90" s="299"/>
      <c r="D90" s="633"/>
      <c r="E90" s="633"/>
      <c r="F90" s="634">
        <f t="shared" si="3"/>
        <v>0.81989999999999996</v>
      </c>
      <c r="G90" s="634">
        <v>8.1989999999999998E-7</v>
      </c>
      <c r="H90" s="634">
        <v>1.1739999999999999E-4</v>
      </c>
      <c r="I90" s="635">
        <v>7.8909999999999993E-9</v>
      </c>
      <c r="J90" s="635">
        <v>4.1469999999999996E-3</v>
      </c>
      <c r="K90" s="635">
        <v>9.019E-7</v>
      </c>
      <c r="L90" s="299"/>
    </row>
    <row r="91" spans="2:12" x14ac:dyDescent="0.35">
      <c r="B91" s="299" t="s">
        <v>295</v>
      </c>
      <c r="C91" s="299"/>
      <c r="D91" s="633"/>
      <c r="E91" s="633"/>
      <c r="F91" s="634">
        <f t="shared" si="3"/>
        <v>1.0550000000000002</v>
      </c>
      <c r="G91" s="634">
        <v>1.0550000000000001E-6</v>
      </c>
      <c r="H91" s="634">
        <v>2.5619999999999999E-4</v>
      </c>
      <c r="I91" s="635">
        <v>1.7220000000000001E-8</v>
      </c>
      <c r="J91" s="635">
        <v>9.0489999999999998E-3</v>
      </c>
      <c r="K91" s="635">
        <v>1.1599999999999999E-6</v>
      </c>
      <c r="L91" s="299"/>
    </row>
    <row r="92" spans="2:12" x14ac:dyDescent="0.35">
      <c r="B92" s="299" t="s">
        <v>296</v>
      </c>
      <c r="C92" s="299"/>
      <c r="D92" s="633"/>
      <c r="E92" s="633"/>
      <c r="F92" s="634">
        <f t="shared" si="3"/>
        <v>8.609E-2</v>
      </c>
      <c r="G92" s="634">
        <v>8.6089999999999999E-8</v>
      </c>
      <c r="H92" s="634">
        <v>2.1350000000000001E-5</v>
      </c>
      <c r="I92" s="635">
        <v>1.4349999999999999E-9</v>
      </c>
      <c r="J92" s="635">
        <v>7.5409999999999995E-4</v>
      </c>
      <c r="K92" s="635">
        <v>9.4699999999999994E-8</v>
      </c>
      <c r="L92" s="299"/>
    </row>
    <row r="93" spans="2:12" x14ac:dyDescent="0.35">
      <c r="B93" s="299" t="s">
        <v>297</v>
      </c>
      <c r="C93" s="299"/>
      <c r="D93" s="633"/>
      <c r="E93" s="633"/>
      <c r="F93" s="634">
        <f t="shared" si="3"/>
        <v>0.1802</v>
      </c>
      <c r="G93" s="634">
        <v>1.8020000000000001E-7</v>
      </c>
      <c r="H93" s="634">
        <v>4.3770000000000003E-5</v>
      </c>
      <c r="I93" s="635">
        <v>2.9410000000000001E-9</v>
      </c>
      <c r="J93" s="635">
        <v>1.5460000000000001E-3</v>
      </c>
      <c r="K93" s="635">
        <v>1.9819999999999999E-7</v>
      </c>
      <c r="L93" s="299"/>
    </row>
    <row r="94" spans="2:12" x14ac:dyDescent="0.35">
      <c r="B94" s="299" t="s">
        <v>298</v>
      </c>
      <c r="C94" s="299"/>
      <c r="D94" s="633"/>
      <c r="E94" s="633"/>
      <c r="F94" s="634">
        <f t="shared" si="3"/>
        <v>9.0310000000000001E-2</v>
      </c>
      <c r="G94" s="634">
        <v>9.0310000000000006E-8</v>
      </c>
      <c r="H94" s="634">
        <v>1.9219999999999999E-5</v>
      </c>
      <c r="I94" s="635">
        <v>1.291E-9</v>
      </c>
      <c r="J94" s="635">
        <v>6.7869999999999996E-4</v>
      </c>
      <c r="K94" s="635">
        <v>9.9340000000000001E-8</v>
      </c>
      <c r="L94" s="299"/>
    </row>
    <row r="95" spans="2:12" x14ac:dyDescent="0.35">
      <c r="B95" s="299" t="s">
        <v>299</v>
      </c>
      <c r="C95" s="299"/>
      <c r="D95" s="633"/>
      <c r="E95" s="633"/>
      <c r="F95" s="634">
        <f t="shared" si="3"/>
        <v>13.35</v>
      </c>
      <c r="G95" s="634">
        <v>1.3349999999999999E-5</v>
      </c>
      <c r="H95" s="634">
        <v>5.3379999999999999E-3</v>
      </c>
      <c r="I95" s="635">
        <v>3.587E-7</v>
      </c>
      <c r="J95" s="635">
        <v>0.1885</v>
      </c>
      <c r="K95" s="635">
        <v>1.468E-5</v>
      </c>
      <c r="L95" s="299"/>
    </row>
    <row r="96" spans="2:12" x14ac:dyDescent="0.35">
      <c r="B96" s="299" t="s">
        <v>300</v>
      </c>
      <c r="C96" s="299"/>
      <c r="D96" s="633"/>
      <c r="E96" s="633"/>
      <c r="F96" s="634">
        <f t="shared" si="3"/>
        <v>1.8050000000000002</v>
      </c>
      <c r="G96" s="634">
        <v>1.8050000000000001E-6</v>
      </c>
      <c r="H96" s="634">
        <v>7.473E-4</v>
      </c>
      <c r="I96" s="635">
        <v>5.0209999999999998E-8</v>
      </c>
      <c r="J96" s="635">
        <v>2.639E-2</v>
      </c>
      <c r="K96" s="635">
        <v>1.9860000000000001E-6</v>
      </c>
      <c r="L96" s="299"/>
    </row>
    <row r="97" spans="2:12" x14ac:dyDescent="0.35">
      <c r="B97" s="299" t="s">
        <v>301</v>
      </c>
      <c r="C97" s="299"/>
      <c r="D97" s="633"/>
      <c r="E97" s="633"/>
      <c r="F97" s="634">
        <f t="shared" si="3"/>
        <v>1.484</v>
      </c>
      <c r="G97" s="634">
        <v>1.4839999999999999E-6</v>
      </c>
      <c r="H97" s="634">
        <v>6.7259999999999998E-4</v>
      </c>
      <c r="I97" s="635">
        <v>4.5190000000000003E-8</v>
      </c>
      <c r="J97" s="635">
        <v>2.375E-2</v>
      </c>
      <c r="K97" s="635">
        <v>1.6330000000000001E-6</v>
      </c>
      <c r="L97" s="299"/>
    </row>
    <row r="98" spans="2:12" x14ac:dyDescent="0.35">
      <c r="B98" s="299" t="s">
        <v>302</v>
      </c>
      <c r="C98" s="299"/>
      <c r="D98" s="633"/>
      <c r="E98" s="633"/>
      <c r="F98" s="634">
        <f t="shared" si="3"/>
        <v>0.65899999999999992</v>
      </c>
      <c r="G98" s="634">
        <v>6.5899999999999996E-7</v>
      </c>
      <c r="H98" s="634">
        <v>2.028E-4</v>
      </c>
      <c r="I98" s="635">
        <v>1.363E-8</v>
      </c>
      <c r="J98" s="635">
        <v>7.1640000000000002E-3</v>
      </c>
      <c r="K98" s="635">
        <v>7.2490000000000004E-7</v>
      </c>
      <c r="L98" s="299"/>
    </row>
    <row r="99" spans="2:12" x14ac:dyDescent="0.35">
      <c r="B99" s="299" t="s">
        <v>303</v>
      </c>
      <c r="C99" s="299"/>
      <c r="D99" s="633"/>
      <c r="E99" s="633"/>
      <c r="F99" s="634">
        <f t="shared" si="3"/>
        <v>3.8149999999999999</v>
      </c>
      <c r="G99" s="634">
        <v>3.8149999999999999E-6</v>
      </c>
      <c r="H99" s="634">
        <v>1.1739999999999999E-3</v>
      </c>
      <c r="I99" s="635">
        <v>7.8909999999999997E-8</v>
      </c>
      <c r="J99" s="635">
        <v>4.147E-2</v>
      </c>
      <c r="K99" s="635">
        <v>4.1969999999999998E-6</v>
      </c>
      <c r="L99" s="299"/>
    </row>
    <row r="100" spans="2:12" x14ac:dyDescent="0.35">
      <c r="B100" s="299" t="s">
        <v>304</v>
      </c>
      <c r="C100" s="299"/>
      <c r="D100" s="633"/>
      <c r="E100" s="633"/>
      <c r="F100" s="634">
        <f t="shared" si="3"/>
        <v>2.2549999999999999</v>
      </c>
      <c r="G100" s="634">
        <v>2.255E-6</v>
      </c>
      <c r="H100" s="634">
        <v>3.3100000000000002E-4</v>
      </c>
      <c r="I100" s="635">
        <v>2.2239999999999999E-8</v>
      </c>
      <c r="J100" s="635">
        <v>1.1690000000000001E-2</v>
      </c>
      <c r="K100" s="635">
        <v>2.481E-6</v>
      </c>
      <c r="L100" s="299"/>
    </row>
    <row r="101" spans="2:12" x14ac:dyDescent="0.35">
      <c r="B101" s="299" t="s">
        <v>305</v>
      </c>
      <c r="C101" s="299"/>
      <c r="D101" s="633"/>
      <c r="E101" s="633"/>
      <c r="F101" s="634">
        <f t="shared" si="3"/>
        <v>1.29</v>
      </c>
      <c r="G101" s="634">
        <v>1.2899999999999999E-6</v>
      </c>
      <c r="H101" s="634">
        <v>5.3379999999999996E-4</v>
      </c>
      <c r="I101" s="635">
        <v>3.5870000000000003E-8</v>
      </c>
      <c r="J101" s="635">
        <v>1.8849999999999999E-2</v>
      </c>
      <c r="K101" s="635">
        <v>1.4190000000000001E-6</v>
      </c>
      <c r="L101" s="299"/>
    </row>
    <row r="102" spans="2:12" x14ac:dyDescent="0.35">
      <c r="B102" s="299" t="s">
        <v>306</v>
      </c>
      <c r="C102" s="299"/>
      <c r="D102" s="633"/>
      <c r="E102" s="633"/>
      <c r="F102" s="634">
        <f t="shared" si="3"/>
        <v>0.1961</v>
      </c>
      <c r="G102" s="634">
        <v>1.9609999999999999E-7</v>
      </c>
      <c r="H102" s="634">
        <v>6.1920000000000003E-5</v>
      </c>
      <c r="I102" s="635">
        <v>4.161E-9</v>
      </c>
      <c r="J102" s="635">
        <v>2.1870000000000001E-3</v>
      </c>
      <c r="K102" s="635">
        <v>2.1570000000000001E-7</v>
      </c>
      <c r="L102" s="299"/>
    </row>
    <row r="103" spans="2:12" x14ac:dyDescent="0.35">
      <c r="B103" s="299" t="s">
        <v>307</v>
      </c>
      <c r="C103" s="299"/>
      <c r="D103" s="633"/>
      <c r="E103" s="633"/>
      <c r="F103" s="634">
        <f t="shared" si="3"/>
        <v>17.41</v>
      </c>
      <c r="G103" s="634">
        <v>1.7410000000000001E-5</v>
      </c>
      <c r="H103" s="634">
        <v>1.495E-2</v>
      </c>
      <c r="I103" s="635">
        <v>1.004E-6</v>
      </c>
      <c r="J103" s="635">
        <v>0.52780000000000005</v>
      </c>
      <c r="K103" s="635">
        <v>1.9150000000000001E-5</v>
      </c>
      <c r="L103" s="299"/>
    </row>
    <row r="104" spans="2:12" x14ac:dyDescent="0.35">
      <c r="B104" s="299" t="s">
        <v>308</v>
      </c>
      <c r="C104" s="299"/>
      <c r="D104" s="633"/>
      <c r="E104" s="633"/>
      <c r="F104" s="634">
        <f t="shared" si="3"/>
        <v>2.7330000000000002E-3</v>
      </c>
      <c r="G104" s="634">
        <v>2.733E-9</v>
      </c>
      <c r="H104" s="634">
        <v>4.2710000000000001E-7</v>
      </c>
      <c r="I104" s="635">
        <v>2.869E-11</v>
      </c>
      <c r="J104" s="635">
        <v>1.508E-5</v>
      </c>
      <c r="K104" s="635">
        <v>3.0060000000000002E-9</v>
      </c>
      <c r="L104" s="299"/>
    </row>
    <row r="105" spans="2:12" x14ac:dyDescent="0.35">
      <c r="B105" s="299" t="s">
        <v>309</v>
      </c>
      <c r="C105" s="299"/>
      <c r="D105" s="633"/>
      <c r="E105" s="633"/>
      <c r="F105" s="634">
        <f t="shared" si="3"/>
        <v>0.13070000000000001</v>
      </c>
      <c r="G105" s="634">
        <v>1.307E-7</v>
      </c>
      <c r="H105" s="634">
        <v>5.2309999999999999E-5</v>
      </c>
      <c r="I105" s="635">
        <v>3.515E-9</v>
      </c>
      <c r="J105" s="635">
        <v>1.8469999999999999E-3</v>
      </c>
      <c r="K105" s="635">
        <v>1.438E-7</v>
      </c>
      <c r="L105" s="299"/>
    </row>
    <row r="106" spans="2:12" x14ac:dyDescent="0.35">
      <c r="B106" s="299" t="s">
        <v>310</v>
      </c>
      <c r="C106" s="299"/>
      <c r="D106" s="633"/>
      <c r="E106" s="633"/>
      <c r="F106" s="634">
        <f t="shared" si="3"/>
        <v>0.125</v>
      </c>
      <c r="G106" s="634">
        <v>1.2499999999999999E-7</v>
      </c>
      <c r="H106" s="634">
        <v>2.669E-5</v>
      </c>
      <c r="I106" s="635">
        <v>1.7929999999999999E-9</v>
      </c>
      <c r="J106" s="635">
        <v>9.4260000000000004E-4</v>
      </c>
      <c r="K106" s="635">
        <v>1.3750000000000001E-7</v>
      </c>
      <c r="L106" s="299"/>
    </row>
    <row r="107" spans="2:12" x14ac:dyDescent="0.35">
      <c r="B107" s="299" t="s">
        <v>311</v>
      </c>
      <c r="C107" s="299"/>
      <c r="D107" s="633"/>
      <c r="E107" s="633"/>
      <c r="F107" s="634">
        <f t="shared" si="3"/>
        <v>0.49920000000000003</v>
      </c>
      <c r="G107" s="634">
        <v>4.9920000000000002E-7</v>
      </c>
      <c r="H107" s="634">
        <v>1.3880000000000001E-4</v>
      </c>
      <c r="I107" s="635">
        <v>9.3250000000000008E-9</v>
      </c>
      <c r="J107" s="635">
        <v>4.901E-3</v>
      </c>
      <c r="K107" s="635">
        <v>5.4909999999999996E-7</v>
      </c>
      <c r="L107" s="299"/>
    </row>
    <row r="108" spans="2:12" x14ac:dyDescent="0.35">
      <c r="B108" s="299" t="s">
        <v>312</v>
      </c>
      <c r="C108" s="299"/>
      <c r="D108" s="633"/>
      <c r="E108" s="633"/>
      <c r="F108" s="634">
        <f t="shared" si="3"/>
        <v>0.3725</v>
      </c>
      <c r="G108" s="634">
        <v>3.7249999999999998E-7</v>
      </c>
      <c r="H108" s="634">
        <v>1.3880000000000001E-4</v>
      </c>
      <c r="I108" s="635">
        <v>9.3250000000000008E-9</v>
      </c>
      <c r="J108" s="635">
        <v>4.901E-3</v>
      </c>
      <c r="K108" s="635">
        <v>4.0970000000000002E-7</v>
      </c>
      <c r="L108" s="299"/>
    </row>
    <row r="109" spans="2:12" x14ac:dyDescent="0.35">
      <c r="B109" s="299" t="s">
        <v>313</v>
      </c>
      <c r="C109" s="299"/>
      <c r="D109" s="633"/>
      <c r="E109" s="633"/>
      <c r="F109" s="634">
        <f t="shared" si="3"/>
        <v>1.5900000000000001E-2</v>
      </c>
      <c r="G109" s="634">
        <v>1.59E-8</v>
      </c>
      <c r="H109" s="634">
        <v>3.2030000000000001E-6</v>
      </c>
      <c r="I109" s="635">
        <v>2.1519999999999999E-10</v>
      </c>
      <c r="J109" s="635">
        <v>1.131E-4</v>
      </c>
      <c r="K109" s="635">
        <v>1.7500000000000001E-8</v>
      </c>
      <c r="L109" s="299"/>
    </row>
    <row r="110" spans="2:12" x14ac:dyDescent="0.35">
      <c r="B110" s="299" t="s">
        <v>314</v>
      </c>
      <c r="C110" s="299"/>
      <c r="D110" s="633"/>
      <c r="E110" s="633"/>
      <c r="F110" s="634">
        <f t="shared" si="3"/>
        <v>0.26899999999999996</v>
      </c>
      <c r="G110" s="634">
        <v>2.6899999999999999E-7</v>
      </c>
      <c r="H110" s="634">
        <v>1.281E-4</v>
      </c>
      <c r="I110" s="635">
        <v>8.6080000000000001E-9</v>
      </c>
      <c r="J110" s="635">
        <v>4.5240000000000002E-3</v>
      </c>
      <c r="K110" s="635">
        <v>2.959E-7</v>
      </c>
      <c r="L110" s="299"/>
    </row>
    <row r="111" spans="2:12" x14ac:dyDescent="0.35">
      <c r="B111" s="299" t="s">
        <v>315</v>
      </c>
      <c r="C111" s="299"/>
      <c r="D111" s="633"/>
      <c r="E111" s="633"/>
      <c r="F111" s="634">
        <f t="shared" si="3"/>
        <v>0.1371</v>
      </c>
      <c r="G111" s="634">
        <v>1.371E-7</v>
      </c>
      <c r="H111" s="634">
        <v>2.2419999999999999E-5</v>
      </c>
      <c r="I111" s="635">
        <v>1.506E-9</v>
      </c>
      <c r="J111" s="635">
        <v>7.9179999999999995E-4</v>
      </c>
      <c r="K111" s="635">
        <v>1.508E-7</v>
      </c>
      <c r="L111" s="299"/>
    </row>
    <row r="112" spans="2:12" x14ac:dyDescent="0.35">
      <c r="B112" s="299" t="s">
        <v>316</v>
      </c>
      <c r="C112" s="299"/>
      <c r="D112" s="633"/>
      <c r="E112" s="633"/>
      <c r="F112" s="634">
        <f t="shared" si="3"/>
        <v>8.5909999999999993</v>
      </c>
      <c r="G112" s="634">
        <v>8.5909999999999996E-6</v>
      </c>
      <c r="H112" s="634">
        <v>1.7080000000000001E-3</v>
      </c>
      <c r="I112" s="635">
        <v>1.148E-7</v>
      </c>
      <c r="J112" s="635">
        <v>6.0330000000000002E-2</v>
      </c>
      <c r="K112" s="635">
        <v>9.4499999999999993E-6</v>
      </c>
      <c r="L112" s="299"/>
    </row>
    <row r="113" spans="2:12" x14ac:dyDescent="0.35">
      <c r="B113" s="299" t="s">
        <v>317</v>
      </c>
      <c r="C113" s="299"/>
      <c r="D113" s="633"/>
      <c r="E113" s="633"/>
      <c r="F113" s="634">
        <f t="shared" si="3"/>
        <v>1.1880000000000002</v>
      </c>
      <c r="G113" s="634">
        <v>1.1880000000000001E-6</v>
      </c>
      <c r="H113" s="634">
        <v>2.7760000000000003E-4</v>
      </c>
      <c r="I113" s="635">
        <v>1.8650000000000002E-8</v>
      </c>
      <c r="J113" s="635">
        <v>9.8029999999999992E-3</v>
      </c>
      <c r="K113" s="635">
        <v>1.3069999999999999E-6</v>
      </c>
      <c r="L113" s="299"/>
    </row>
    <row r="114" spans="2:12" x14ac:dyDescent="0.35">
      <c r="B114" s="299" t="s">
        <v>318</v>
      </c>
      <c r="C114" s="299"/>
      <c r="D114" s="633"/>
      <c r="E114" s="633"/>
      <c r="F114" s="634">
        <f t="shared" si="3"/>
        <v>5.2809999999999997</v>
      </c>
      <c r="G114" s="634">
        <v>5.2809999999999999E-6</v>
      </c>
      <c r="H114" s="634">
        <v>1.495E-3</v>
      </c>
      <c r="I114" s="635">
        <v>1.004E-7</v>
      </c>
      <c r="J114" s="635">
        <v>5.2780000000000001E-2</v>
      </c>
      <c r="K114" s="635">
        <v>5.8089999999999998E-6</v>
      </c>
      <c r="L114" s="299"/>
    </row>
    <row r="115" spans="2:12" x14ac:dyDescent="0.35">
      <c r="B115" s="299" t="s">
        <v>319</v>
      </c>
      <c r="C115" s="299"/>
      <c r="D115" s="633"/>
      <c r="E115" s="633"/>
      <c r="F115" s="634">
        <f t="shared" si="3"/>
        <v>2.1519999999999997</v>
      </c>
      <c r="G115" s="634">
        <v>2.1519999999999999E-6</v>
      </c>
      <c r="H115" s="634">
        <v>8.3270000000000002E-4</v>
      </c>
      <c r="I115" s="635">
        <v>5.5950000000000001E-8</v>
      </c>
      <c r="J115" s="635">
        <v>2.9409999999999999E-2</v>
      </c>
      <c r="K115" s="635">
        <v>2.367E-6</v>
      </c>
      <c r="L115" s="299"/>
    </row>
    <row r="116" spans="2:12" x14ac:dyDescent="0.35">
      <c r="B116" s="299" t="s">
        <v>320</v>
      </c>
      <c r="C116" s="299"/>
      <c r="D116" s="633"/>
      <c r="E116" s="633"/>
      <c r="F116" s="634">
        <f t="shared" si="3"/>
        <v>118.8</v>
      </c>
      <c r="G116" s="634">
        <v>1.188E-4</v>
      </c>
      <c r="H116" s="634">
        <v>9.5019999999999993E-2</v>
      </c>
      <c r="I116" s="635">
        <v>6.3840000000000002E-6</v>
      </c>
      <c r="J116" s="635">
        <v>3.3559999999999999</v>
      </c>
      <c r="K116" s="635">
        <v>1.3070000000000001E-4</v>
      </c>
      <c r="L116" s="299"/>
    </row>
    <row r="117" spans="2:12" x14ac:dyDescent="0.35">
      <c r="B117" s="299" t="s">
        <v>321</v>
      </c>
      <c r="C117" s="299"/>
      <c r="D117" s="633"/>
      <c r="E117" s="633"/>
      <c r="F117" s="634">
        <f t="shared" si="3"/>
        <v>5.5249999999999995</v>
      </c>
      <c r="G117" s="634">
        <v>5.5249999999999996E-6</v>
      </c>
      <c r="H117" s="634">
        <v>2.8830000000000001E-3</v>
      </c>
      <c r="I117" s="635">
        <v>1.9369999999999999E-7</v>
      </c>
      <c r="J117" s="635">
        <v>0.1018</v>
      </c>
      <c r="K117" s="635">
        <v>6.0769999999999996E-6</v>
      </c>
      <c r="L117" s="299"/>
    </row>
    <row r="118" spans="2:12" x14ac:dyDescent="0.35">
      <c r="B118" s="299" t="s">
        <v>322</v>
      </c>
      <c r="C118" s="299"/>
      <c r="D118" s="633"/>
      <c r="E118" s="633"/>
      <c r="F118" s="634">
        <f t="shared" si="3"/>
        <v>0.63460000000000005</v>
      </c>
      <c r="G118" s="634">
        <v>6.3460000000000003E-7</v>
      </c>
      <c r="H118" s="634">
        <v>2.4560000000000001E-4</v>
      </c>
      <c r="I118" s="635">
        <v>1.6499999999999999E-8</v>
      </c>
      <c r="J118" s="635">
        <v>8.6719999999999992E-3</v>
      </c>
      <c r="K118" s="635">
        <v>6.9800000000000003E-7</v>
      </c>
      <c r="L118" s="299"/>
    </row>
    <row r="119" spans="2:12" x14ac:dyDescent="0.35">
      <c r="B119" s="299" t="s">
        <v>323</v>
      </c>
      <c r="C119" s="299"/>
      <c r="D119" s="633"/>
      <c r="E119" s="633"/>
      <c r="F119" s="634">
        <f t="shared" si="3"/>
        <v>2.1679999999999997</v>
      </c>
      <c r="G119" s="634">
        <v>2.1679999999999998E-6</v>
      </c>
      <c r="H119" s="634">
        <v>4.9109999999999996E-4</v>
      </c>
      <c r="I119" s="635">
        <v>3.2999999999999998E-8</v>
      </c>
      <c r="J119" s="635">
        <v>1.7340000000000001E-2</v>
      </c>
      <c r="K119" s="635">
        <v>2.385E-6</v>
      </c>
      <c r="L119" s="299"/>
    </row>
    <row r="120" spans="2:12" x14ac:dyDescent="0.35">
      <c r="B120" s="299" t="s">
        <v>324</v>
      </c>
      <c r="C120" s="299"/>
      <c r="D120" s="633"/>
      <c r="E120" s="633"/>
      <c r="F120" s="634">
        <f t="shared" si="3"/>
        <v>8.3429999999999995E-4</v>
      </c>
      <c r="G120" s="634">
        <v>8.343E-10</v>
      </c>
      <c r="H120" s="634">
        <v>1.068E-7</v>
      </c>
      <c r="I120" s="635">
        <v>7.1730000000000002E-12</v>
      </c>
      <c r="J120" s="635">
        <v>3.7699999999999999E-6</v>
      </c>
      <c r="K120" s="635">
        <v>9.1770000000000005E-10</v>
      </c>
      <c r="L120" s="299"/>
    </row>
    <row r="121" spans="2:12" x14ac:dyDescent="0.35">
      <c r="B121" s="299" t="s">
        <v>325</v>
      </c>
      <c r="C121" s="299"/>
      <c r="D121" s="633"/>
      <c r="E121" s="633"/>
      <c r="F121" s="634">
        <f t="shared" si="3"/>
        <v>0.46360000000000001</v>
      </c>
      <c r="G121" s="634">
        <v>4.636E-7</v>
      </c>
      <c r="H121" s="634">
        <v>8.1139999999999999E-5</v>
      </c>
      <c r="I121" s="635">
        <v>5.4519999999999998E-9</v>
      </c>
      <c r="J121" s="635">
        <v>2.8649999999999999E-3</v>
      </c>
      <c r="K121" s="635">
        <v>5.0999999999999999E-7</v>
      </c>
      <c r="L121" s="299"/>
    </row>
    <row r="122" spans="2:12" x14ac:dyDescent="0.35">
      <c r="B122" s="299" t="s">
        <v>326</v>
      </c>
      <c r="C122" s="299"/>
      <c r="D122" s="633"/>
      <c r="E122" s="633"/>
      <c r="F122" s="634">
        <f t="shared" si="3"/>
        <v>2.5260000000000002</v>
      </c>
      <c r="G122" s="634">
        <v>2.526E-6</v>
      </c>
      <c r="H122" s="634">
        <v>7.046E-4</v>
      </c>
      <c r="I122" s="635">
        <v>4.7339999999999999E-8</v>
      </c>
      <c r="J122" s="635">
        <v>2.4879999999999999E-2</v>
      </c>
      <c r="K122" s="635">
        <v>2.7779999999999999E-6</v>
      </c>
      <c r="L122" s="299"/>
    </row>
    <row r="123" spans="2:12" x14ac:dyDescent="0.35">
      <c r="B123" s="299" t="s">
        <v>327</v>
      </c>
      <c r="C123" s="299"/>
      <c r="D123" s="633"/>
      <c r="E123" s="633"/>
      <c r="F123" s="634">
        <f t="shared" si="3"/>
        <v>5.4480000000000004</v>
      </c>
      <c r="G123" s="634">
        <v>5.4480000000000002E-6</v>
      </c>
      <c r="H123" s="634">
        <v>3.8430000000000001E-3</v>
      </c>
      <c r="I123" s="635">
        <v>2.5820000000000002E-7</v>
      </c>
      <c r="J123" s="635">
        <v>0.13569999999999999</v>
      </c>
      <c r="K123" s="635">
        <v>5.993E-6</v>
      </c>
      <c r="L123" s="299"/>
    </row>
    <row r="124" spans="2:12" x14ac:dyDescent="0.35">
      <c r="B124" s="299" t="s">
        <v>328</v>
      </c>
      <c r="C124" s="299"/>
      <c r="D124" s="633"/>
      <c r="E124" s="633"/>
      <c r="F124" s="634">
        <f t="shared" si="3"/>
        <v>2.5829999999999999E-4</v>
      </c>
      <c r="G124" s="634">
        <v>2.5829999999999998E-10</v>
      </c>
      <c r="H124" s="634">
        <v>3.0960000000000001E-8</v>
      </c>
      <c r="I124" s="635">
        <v>2.08E-12</v>
      </c>
      <c r="J124" s="635">
        <v>1.093E-6</v>
      </c>
      <c r="K124" s="635">
        <v>2.8420000000000001E-10</v>
      </c>
      <c r="L124" s="299"/>
    </row>
    <row r="125" spans="2:12" x14ac:dyDescent="0.35">
      <c r="B125" s="299" t="s">
        <v>329</v>
      </c>
      <c r="C125" s="299"/>
      <c r="D125" s="633"/>
      <c r="E125" s="633"/>
      <c r="F125" s="634">
        <f t="shared" si="3"/>
        <v>2.2730000000000001</v>
      </c>
      <c r="G125" s="634">
        <v>2.2730000000000001E-6</v>
      </c>
      <c r="H125" s="634">
        <v>7.5799999999999999E-4</v>
      </c>
      <c r="I125" s="635">
        <v>5.093E-8</v>
      </c>
      <c r="J125" s="635">
        <v>2.6769999999999999E-2</v>
      </c>
      <c r="K125" s="635">
        <v>2.5009999999999999E-6</v>
      </c>
      <c r="L125" s="299"/>
    </row>
    <row r="126" spans="2:12" x14ac:dyDescent="0.35">
      <c r="B126" s="299" t="s">
        <v>330</v>
      </c>
      <c r="C126" s="299"/>
      <c r="D126" s="633"/>
      <c r="E126" s="633"/>
      <c r="F126" s="634">
        <f t="shared" si="3"/>
        <v>0.84509999999999996</v>
      </c>
      <c r="G126" s="634">
        <v>8.4509999999999996E-7</v>
      </c>
      <c r="H126" s="634">
        <v>2.028E-4</v>
      </c>
      <c r="I126" s="635">
        <v>1.363E-8</v>
      </c>
      <c r="J126" s="635">
        <v>7.1640000000000002E-3</v>
      </c>
      <c r="K126" s="635">
        <v>9.2959999999999996E-7</v>
      </c>
      <c r="L126" s="299"/>
    </row>
    <row r="127" spans="2:12" x14ac:dyDescent="0.35">
      <c r="B127" s="299" t="s">
        <v>331</v>
      </c>
      <c r="C127" s="299"/>
      <c r="D127" s="633"/>
      <c r="E127" s="633"/>
      <c r="F127" s="634">
        <f t="shared" si="3"/>
        <v>0.53410000000000002</v>
      </c>
      <c r="G127" s="634">
        <v>5.341E-7</v>
      </c>
      <c r="H127" s="634">
        <v>2.6689999999999998E-4</v>
      </c>
      <c r="I127" s="635">
        <v>1.7929999999999999E-8</v>
      </c>
      <c r="J127" s="635">
        <v>9.4260000000000004E-3</v>
      </c>
      <c r="K127" s="635">
        <v>5.8749999999999999E-7</v>
      </c>
      <c r="L127" s="299"/>
    </row>
    <row r="128" spans="2:12" x14ac:dyDescent="0.35">
      <c r="B128" s="299" t="s">
        <v>332</v>
      </c>
      <c r="C128" s="299"/>
      <c r="D128" s="633"/>
      <c r="E128" s="633"/>
      <c r="F128" s="634">
        <f t="shared" si="3"/>
        <v>1.0569999999999999</v>
      </c>
      <c r="G128" s="634">
        <v>1.057E-6</v>
      </c>
      <c r="H128" s="634">
        <v>3.523E-4</v>
      </c>
      <c r="I128" s="635">
        <v>2.367E-8</v>
      </c>
      <c r="J128" s="635">
        <v>1.244E-2</v>
      </c>
      <c r="K128" s="635">
        <v>1.1629999999999999E-6</v>
      </c>
      <c r="L128" s="299"/>
    </row>
    <row r="129" spans="2:12" x14ac:dyDescent="0.35">
      <c r="B129" s="299" t="s">
        <v>333</v>
      </c>
      <c r="C129" s="299"/>
      <c r="D129" s="633"/>
      <c r="E129" s="633"/>
      <c r="F129" s="634">
        <f t="shared" si="3"/>
        <v>2.7250000000000001</v>
      </c>
      <c r="G129" s="634">
        <v>2.7250000000000002E-6</v>
      </c>
      <c r="H129" s="634">
        <v>3.9500000000000001E-4</v>
      </c>
      <c r="I129" s="635">
        <v>2.6540000000000001E-8</v>
      </c>
      <c r="J129" s="635">
        <v>1.3950000000000001E-2</v>
      </c>
      <c r="K129" s="635">
        <v>2.9969999999999999E-6</v>
      </c>
      <c r="L129" s="299"/>
    </row>
    <row r="130" spans="2:12" x14ac:dyDescent="0.35">
      <c r="B130" s="299" t="s">
        <v>334</v>
      </c>
      <c r="C130" s="299"/>
      <c r="D130" s="633"/>
      <c r="E130" s="633"/>
      <c r="F130" s="634">
        <f t="shared" si="3"/>
        <v>2.1539999999999999</v>
      </c>
      <c r="G130" s="634">
        <v>2.154E-6</v>
      </c>
      <c r="H130" s="634">
        <v>1.1739999999999999E-3</v>
      </c>
      <c r="I130" s="635">
        <v>7.8909999999999997E-8</v>
      </c>
      <c r="J130" s="635">
        <v>4.147E-2</v>
      </c>
      <c r="K130" s="635">
        <v>2.3690000000000001E-6</v>
      </c>
      <c r="L130" s="299"/>
    </row>
    <row r="131" spans="2:12" x14ac:dyDescent="0.35">
      <c r="B131" s="299" t="s">
        <v>335</v>
      </c>
      <c r="C131" s="299"/>
      <c r="D131" s="633"/>
      <c r="E131" s="633"/>
      <c r="F131" s="634">
        <f t="shared" si="3"/>
        <v>1.2049999999999998</v>
      </c>
      <c r="G131" s="634">
        <v>1.2049999999999999E-6</v>
      </c>
      <c r="H131" s="634">
        <v>2.989E-4</v>
      </c>
      <c r="I131" s="635">
        <v>2.009E-8</v>
      </c>
      <c r="J131" s="635">
        <v>1.056E-2</v>
      </c>
      <c r="K131" s="635">
        <v>1.3260000000000001E-6</v>
      </c>
      <c r="L131" s="299"/>
    </row>
    <row r="132" spans="2:12" x14ac:dyDescent="0.35">
      <c r="B132" s="299" t="s">
        <v>336</v>
      </c>
      <c r="C132" s="299"/>
      <c r="D132" s="633"/>
      <c r="E132" s="633"/>
      <c r="F132" s="634">
        <f t="shared" si="3"/>
        <v>15.959999999999999</v>
      </c>
      <c r="G132" s="634">
        <v>1.596E-5</v>
      </c>
      <c r="H132" s="634">
        <v>4.1640000000000002E-3</v>
      </c>
      <c r="I132" s="635">
        <v>2.798E-7</v>
      </c>
      <c r="J132" s="635">
        <v>0.14699999999999999</v>
      </c>
      <c r="K132" s="635">
        <v>1.755E-5</v>
      </c>
      <c r="L132" s="299"/>
    </row>
    <row r="133" spans="2:12" x14ac:dyDescent="0.35">
      <c r="B133" s="299" t="s">
        <v>337</v>
      </c>
      <c r="C133" s="299"/>
      <c r="D133" s="633"/>
      <c r="E133" s="633"/>
      <c r="F133" s="634">
        <f t="shared" si="3"/>
        <v>69.55</v>
      </c>
      <c r="G133" s="634">
        <v>6.9549999999999996E-5</v>
      </c>
      <c r="H133" s="634">
        <v>1.8149999999999999E-2</v>
      </c>
      <c r="I133" s="635">
        <v>1.2190000000000001E-6</v>
      </c>
      <c r="J133" s="635">
        <v>0.64100000000000001</v>
      </c>
      <c r="K133" s="635">
        <v>7.6500000000000003E-5</v>
      </c>
      <c r="L133" s="299"/>
    </row>
    <row r="134" spans="2:12" x14ac:dyDescent="0.35">
      <c r="B134" s="299" t="s">
        <v>338</v>
      </c>
      <c r="C134" s="299"/>
      <c r="D134" s="633"/>
      <c r="E134" s="633"/>
      <c r="F134" s="634">
        <f t="shared" si="3"/>
        <v>1.6339999999999999</v>
      </c>
      <c r="G134" s="634">
        <v>1.6339999999999999E-6</v>
      </c>
      <c r="H134" s="634">
        <v>2.989E-4</v>
      </c>
      <c r="I134" s="635">
        <v>2.009E-8</v>
      </c>
      <c r="J134" s="635">
        <v>1.056E-2</v>
      </c>
      <c r="K134" s="635">
        <v>1.7969999999999999E-6</v>
      </c>
      <c r="L134" s="299"/>
    </row>
    <row r="135" spans="2:12" x14ac:dyDescent="0.35">
      <c r="B135" s="299" t="s">
        <v>339</v>
      </c>
      <c r="C135" s="299"/>
      <c r="D135" s="633"/>
      <c r="E135" s="633"/>
      <c r="F135" s="634">
        <f t="shared" si="3"/>
        <v>2.0260000000000002</v>
      </c>
      <c r="G135" s="634">
        <v>2.0260000000000002E-6</v>
      </c>
      <c r="H135" s="634">
        <v>7.7939999999999997E-4</v>
      </c>
      <c r="I135" s="635">
        <v>5.2369999999999998E-8</v>
      </c>
      <c r="J135" s="635">
        <v>2.7519999999999999E-2</v>
      </c>
      <c r="K135" s="635">
        <v>2.2290000000000002E-6</v>
      </c>
      <c r="L135" s="299"/>
    </row>
    <row r="136" spans="2:12" x14ac:dyDescent="0.35">
      <c r="B136" s="299" t="s">
        <v>340</v>
      </c>
      <c r="C136" s="299"/>
      <c r="D136" s="633"/>
      <c r="E136" s="633"/>
      <c r="F136" s="634">
        <f t="shared" si="3"/>
        <v>5.657</v>
      </c>
      <c r="G136" s="634">
        <v>5.6570000000000002E-6</v>
      </c>
      <c r="H136" s="634">
        <v>1.281E-3</v>
      </c>
      <c r="I136" s="635">
        <v>8.6080000000000001E-8</v>
      </c>
      <c r="J136" s="635">
        <v>4.5240000000000002E-2</v>
      </c>
      <c r="K136" s="635">
        <v>6.2230000000000004E-6</v>
      </c>
      <c r="L136" s="299"/>
    </row>
    <row r="137" spans="2:12" x14ac:dyDescent="0.35">
      <c r="B137" s="299"/>
      <c r="C137" s="299"/>
      <c r="D137" s="633"/>
      <c r="E137" s="633"/>
      <c r="F137" s="633"/>
      <c r="G137" s="633"/>
      <c r="H137" s="633"/>
      <c r="I137" s="299"/>
      <c r="J137" s="299"/>
      <c r="K137" s="299"/>
      <c r="L137" s="299"/>
    </row>
    <row r="138" spans="2:12" x14ac:dyDescent="0.35">
      <c r="B138" s="299"/>
      <c r="C138" s="299"/>
      <c r="D138" s="633"/>
      <c r="E138" s="633"/>
      <c r="F138" s="633"/>
      <c r="G138" s="633"/>
      <c r="H138" s="633"/>
      <c r="I138" s="299"/>
      <c r="J138" s="299"/>
      <c r="K138" s="299"/>
      <c r="L138" s="299"/>
    </row>
  </sheetData>
  <sheetProtection formatCells="0" formatColumns="0" formatRows="0" insertColumns="0" insertRows="0" insertHyperlinks="0" deleteColumns="0" deleteRows="0" sort="0" autoFilter="0" pivotTables="0"/>
  <mergeCells count="12">
    <mergeCell ref="B79:L79"/>
    <mergeCell ref="F83:K83"/>
    <mergeCell ref="F22:K22"/>
    <mergeCell ref="J21:L21"/>
    <mergeCell ref="J24:L24"/>
    <mergeCell ref="B2:F2"/>
    <mergeCell ref="G5:G6"/>
    <mergeCell ref="B17:I17"/>
    <mergeCell ref="B77:L77"/>
    <mergeCell ref="B3:B4"/>
    <mergeCell ref="C3:E3"/>
    <mergeCell ref="B16:G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4E44-9EED-40D5-9E9F-2B318849D48E}">
  <dimension ref="B2:K56"/>
  <sheetViews>
    <sheetView zoomScale="90" zoomScaleNormal="90" workbookViewId="0">
      <selection activeCell="F45" sqref="F45"/>
    </sheetView>
  </sheetViews>
  <sheetFormatPr baseColWidth="10" defaultColWidth="8.7265625" defaultRowHeight="17" x14ac:dyDescent="0.4"/>
  <cols>
    <col min="2" max="2" width="28.1796875" customWidth="1"/>
    <col min="3" max="3" width="23.54296875" style="360" bestFit="1" customWidth="1"/>
    <col min="4" max="4" width="24.81640625" customWidth="1"/>
    <col min="5" max="5" width="24.26953125" customWidth="1"/>
    <col min="6" max="6" width="14.7265625" customWidth="1"/>
    <col min="7" max="7" width="32.1796875" customWidth="1"/>
    <col min="8" max="8" width="10.1796875" customWidth="1"/>
    <col min="9" max="9" width="24.7265625" customWidth="1"/>
    <col min="10" max="10" width="41.54296875" customWidth="1"/>
  </cols>
  <sheetData>
    <row r="2" spans="2:10" ht="15.5" x14ac:dyDescent="0.35">
      <c r="B2" s="729" t="s">
        <v>344</v>
      </c>
      <c r="C2" s="729"/>
      <c r="D2" s="729"/>
      <c r="E2" s="729"/>
      <c r="F2" s="729"/>
      <c r="G2" s="729"/>
      <c r="H2" s="35"/>
      <c r="I2" s="35"/>
      <c r="J2" s="35"/>
    </row>
    <row r="3" spans="2:10" ht="20" x14ac:dyDescent="0.55000000000000004">
      <c r="B3" s="354" t="s">
        <v>345</v>
      </c>
      <c r="C3" s="359" t="s">
        <v>346</v>
      </c>
      <c r="D3" s="356" t="s">
        <v>347</v>
      </c>
      <c r="E3" s="33" t="s">
        <v>348</v>
      </c>
      <c r="F3" s="33" t="s">
        <v>349</v>
      </c>
      <c r="G3" s="34" t="s">
        <v>350</v>
      </c>
    </row>
    <row r="4" spans="2:10" ht="126.75" customHeight="1" x14ac:dyDescent="0.35">
      <c r="B4" s="355">
        <v>1</v>
      </c>
      <c r="C4" s="371">
        <v>28</v>
      </c>
      <c r="D4" s="4">
        <v>265</v>
      </c>
      <c r="E4" s="4">
        <v>22800</v>
      </c>
      <c r="F4" s="4">
        <v>17200</v>
      </c>
      <c r="G4" s="32" t="s">
        <v>351</v>
      </c>
    </row>
    <row r="7" spans="2:10" x14ac:dyDescent="0.4">
      <c r="B7" s="24"/>
    </row>
    <row r="8" spans="2:10" ht="16" thickBot="1" x14ac:dyDescent="0.4">
      <c r="B8" s="741" t="s">
        <v>352</v>
      </c>
      <c r="C8" s="741"/>
      <c r="D8" s="741"/>
      <c r="E8" s="741"/>
    </row>
    <row r="9" spans="2:10" ht="14.5" x14ac:dyDescent="0.35">
      <c r="B9" s="736" t="s">
        <v>353</v>
      </c>
      <c r="C9" s="738" t="s">
        <v>354</v>
      </c>
      <c r="D9" s="739" t="s">
        <v>355</v>
      </c>
      <c r="E9" s="734" t="s">
        <v>350</v>
      </c>
    </row>
    <row r="10" spans="2:10" ht="39.65" customHeight="1" thickBot="1" x14ac:dyDescent="0.4">
      <c r="B10" s="737"/>
      <c r="C10" s="738"/>
      <c r="D10" s="740"/>
      <c r="E10" s="735"/>
    </row>
    <row r="11" spans="2:10" x14ac:dyDescent="0.4">
      <c r="B11" s="733" t="s">
        <v>356</v>
      </c>
      <c r="C11" s="365" t="s">
        <v>357</v>
      </c>
      <c r="D11" s="366">
        <v>10200</v>
      </c>
      <c r="E11" s="731" t="s">
        <v>358</v>
      </c>
      <c r="G11" s="657"/>
      <c r="H11" s="657"/>
    </row>
    <row r="12" spans="2:10" x14ac:dyDescent="0.4">
      <c r="B12" s="730"/>
      <c r="C12" s="367" t="s">
        <v>359</v>
      </c>
      <c r="D12" s="368">
        <v>4660</v>
      </c>
      <c r="E12" s="732"/>
    </row>
    <row r="13" spans="2:10" x14ac:dyDescent="0.4">
      <c r="B13" s="730"/>
      <c r="C13" s="367" t="s">
        <v>360</v>
      </c>
      <c r="D13" s="368">
        <v>7670</v>
      </c>
      <c r="E13" s="732"/>
    </row>
    <row r="14" spans="2:10" x14ac:dyDescent="0.4">
      <c r="B14" s="730" t="s">
        <v>361</v>
      </c>
      <c r="C14" s="367" t="s">
        <v>362</v>
      </c>
      <c r="D14" s="370">
        <v>1750</v>
      </c>
      <c r="E14" s="732"/>
    </row>
    <row r="15" spans="2:10" x14ac:dyDescent="0.4">
      <c r="B15" s="730"/>
      <c r="C15" s="367" t="s">
        <v>363</v>
      </c>
      <c r="D15" s="370">
        <v>1470</v>
      </c>
      <c r="E15" s="732"/>
    </row>
    <row r="16" spans="2:10" x14ac:dyDescent="0.4">
      <c r="B16" s="730" t="s">
        <v>364</v>
      </c>
      <c r="C16" s="367" t="s">
        <v>365</v>
      </c>
      <c r="D16" s="369">
        <v>79</v>
      </c>
      <c r="E16" s="732"/>
    </row>
    <row r="17" spans="2:11" x14ac:dyDescent="0.4">
      <c r="B17" s="730"/>
      <c r="C17" s="367" t="s">
        <v>366</v>
      </c>
      <c r="D17" s="369">
        <v>527</v>
      </c>
      <c r="E17" s="732"/>
    </row>
    <row r="18" spans="2:11" x14ac:dyDescent="0.4">
      <c r="B18" s="730"/>
      <c r="C18" s="367" t="s">
        <v>367</v>
      </c>
      <c r="D18" s="368">
        <v>1980</v>
      </c>
      <c r="E18" s="732"/>
    </row>
    <row r="19" spans="2:11" x14ac:dyDescent="0.4">
      <c r="B19" s="730"/>
      <c r="C19" s="367" t="s">
        <v>368</v>
      </c>
      <c r="D19" s="368">
        <v>1760</v>
      </c>
      <c r="E19" s="732"/>
    </row>
    <row r="21" spans="2:11" ht="14.5" x14ac:dyDescent="0.35">
      <c r="B21" s="657" t="s">
        <v>369</v>
      </c>
      <c r="C21" s="657"/>
      <c r="D21" s="657"/>
      <c r="E21" s="657"/>
    </row>
    <row r="22" spans="2:11" ht="14.5" x14ac:dyDescent="0.35">
      <c r="B22" s="657"/>
      <c r="C22" s="657"/>
      <c r="D22" s="657"/>
      <c r="E22" s="657"/>
    </row>
    <row r="23" spans="2:11" x14ac:dyDescent="0.4">
      <c r="B23" s="358" t="s">
        <v>370</v>
      </c>
      <c r="C23" s="358" t="s">
        <v>371</v>
      </c>
      <c r="D23" s="358" t="s">
        <v>372</v>
      </c>
      <c r="E23" s="358" t="s">
        <v>350</v>
      </c>
    </row>
    <row r="24" spans="2:11" ht="16.5" x14ac:dyDescent="0.35">
      <c r="B24" s="12" t="s">
        <v>373</v>
      </c>
      <c r="C24" s="353" t="s">
        <v>374</v>
      </c>
      <c r="D24" s="352">
        <v>12400</v>
      </c>
      <c r="E24" s="726" t="s">
        <v>351</v>
      </c>
    </row>
    <row r="25" spans="2:11" ht="16.5" x14ac:dyDescent="0.35">
      <c r="B25" s="357" t="s">
        <v>375</v>
      </c>
      <c r="C25" s="353" t="s">
        <v>376</v>
      </c>
      <c r="D25" s="353">
        <v>677</v>
      </c>
      <c r="E25" s="727"/>
    </row>
    <row r="26" spans="2:11" thickBot="1" x14ac:dyDescent="0.4">
      <c r="B26" s="357" t="s">
        <v>377</v>
      </c>
      <c r="C26" s="357" t="s">
        <v>378</v>
      </c>
      <c r="D26" s="357">
        <v>116</v>
      </c>
      <c r="E26" s="727"/>
    </row>
    <row r="27" spans="2:11" thickBot="1" x14ac:dyDescent="0.4">
      <c r="B27" s="357" t="s">
        <v>379</v>
      </c>
      <c r="C27" s="353" t="s">
        <v>380</v>
      </c>
      <c r="D27" s="363">
        <v>1650</v>
      </c>
      <c r="E27" s="727"/>
      <c r="I27" s="350"/>
      <c r="J27" s="350"/>
      <c r="K27" s="350"/>
    </row>
    <row r="28" spans="2:11" thickBot="1" x14ac:dyDescent="0.4">
      <c r="B28" s="357" t="s">
        <v>381</v>
      </c>
      <c r="C28" s="357" t="s">
        <v>382</v>
      </c>
      <c r="D28" s="363">
        <v>3170</v>
      </c>
      <c r="E28" s="727"/>
      <c r="I28" s="350"/>
      <c r="J28" s="350"/>
      <c r="K28" s="350"/>
    </row>
    <row r="29" spans="2:11" thickBot="1" x14ac:dyDescent="0.4">
      <c r="B29" s="357" t="s">
        <v>383</v>
      </c>
      <c r="C29" s="353" t="s">
        <v>384</v>
      </c>
      <c r="D29" s="363">
        <v>1120</v>
      </c>
      <c r="E29" s="727"/>
      <c r="I29" s="350"/>
      <c r="J29" s="351"/>
      <c r="K29" s="351"/>
    </row>
    <row r="30" spans="2:11" thickBot="1" x14ac:dyDescent="0.4">
      <c r="B30" s="357" t="s">
        <v>385</v>
      </c>
      <c r="C30" s="357" t="s">
        <v>386</v>
      </c>
      <c r="D30" s="352">
        <v>1300</v>
      </c>
      <c r="E30" s="727"/>
      <c r="I30" s="350"/>
      <c r="J30" s="351"/>
      <c r="K30" s="351"/>
    </row>
    <row r="31" spans="2:11" thickBot="1" x14ac:dyDescent="0.4">
      <c r="B31" s="357" t="s">
        <v>387</v>
      </c>
      <c r="C31" s="357" t="s">
        <v>388</v>
      </c>
      <c r="D31" s="353">
        <v>328</v>
      </c>
      <c r="E31" s="727"/>
      <c r="I31" s="350"/>
      <c r="J31" s="351"/>
      <c r="K31" s="351"/>
    </row>
    <row r="32" spans="2:11" thickBot="1" x14ac:dyDescent="0.4">
      <c r="B32" s="357" t="s">
        <v>389</v>
      </c>
      <c r="C32" s="357" t="s">
        <v>390</v>
      </c>
      <c r="D32" s="352">
        <v>4800</v>
      </c>
      <c r="E32" s="727"/>
      <c r="I32" s="350"/>
      <c r="J32" s="351"/>
      <c r="K32" s="351"/>
    </row>
    <row r="33" spans="2:11" thickBot="1" x14ac:dyDescent="0.4">
      <c r="B33" s="357" t="s">
        <v>391</v>
      </c>
      <c r="C33" s="357" t="s">
        <v>392</v>
      </c>
      <c r="D33" s="353">
        <v>16</v>
      </c>
      <c r="E33" s="727"/>
      <c r="I33" s="350"/>
      <c r="J33" s="350"/>
      <c r="K33" s="350"/>
    </row>
    <row r="34" spans="2:11" thickBot="1" x14ac:dyDescent="0.4">
      <c r="B34" s="357" t="s">
        <v>393</v>
      </c>
      <c r="C34" s="357" t="s">
        <v>394</v>
      </c>
      <c r="D34" s="353">
        <v>138</v>
      </c>
      <c r="E34" s="727"/>
      <c r="I34" s="350"/>
      <c r="J34" s="351"/>
      <c r="K34" s="351"/>
    </row>
    <row r="35" spans="2:11" thickBot="1" x14ac:dyDescent="0.4">
      <c r="B35" s="357" t="s">
        <v>395</v>
      </c>
      <c r="C35" s="357" t="s">
        <v>396</v>
      </c>
      <c r="D35" s="353">
        <v>4</v>
      </c>
      <c r="E35" s="727"/>
      <c r="I35" s="350"/>
      <c r="J35" s="350"/>
      <c r="K35" s="350"/>
    </row>
    <row r="36" spans="2:11" thickBot="1" x14ac:dyDescent="0.4">
      <c r="B36" s="357" t="s">
        <v>397</v>
      </c>
      <c r="C36" s="357" t="s">
        <v>398</v>
      </c>
      <c r="D36" s="352">
        <v>3350</v>
      </c>
      <c r="E36" s="727"/>
      <c r="I36" s="350"/>
      <c r="J36" s="350"/>
      <c r="K36" s="350"/>
    </row>
    <row r="37" spans="2:11" thickBot="1" x14ac:dyDescent="0.4">
      <c r="B37" s="357" t="s">
        <v>399</v>
      </c>
      <c r="C37" s="357" t="s">
        <v>400</v>
      </c>
      <c r="D37" s="363">
        <v>1210</v>
      </c>
      <c r="E37" s="727"/>
      <c r="I37" s="350"/>
      <c r="J37" s="350"/>
      <c r="K37" s="350"/>
    </row>
    <row r="38" spans="2:11" thickBot="1" x14ac:dyDescent="0.4">
      <c r="B38" s="357" t="s">
        <v>401</v>
      </c>
      <c r="C38" s="357" t="s">
        <v>402</v>
      </c>
      <c r="D38" s="352">
        <v>1330</v>
      </c>
      <c r="E38" s="727"/>
      <c r="I38" s="350"/>
      <c r="J38" s="351"/>
      <c r="K38" s="351"/>
    </row>
    <row r="39" spans="2:11" thickBot="1" x14ac:dyDescent="0.4">
      <c r="B39" s="357" t="s">
        <v>403</v>
      </c>
      <c r="C39" s="357" t="s">
        <v>404</v>
      </c>
      <c r="D39" s="363">
        <v>8060</v>
      </c>
      <c r="E39" s="727"/>
      <c r="I39" s="350"/>
      <c r="J39" s="351"/>
      <c r="K39" s="351"/>
    </row>
    <row r="40" spans="2:11" thickBot="1" x14ac:dyDescent="0.4">
      <c r="B40" s="357" t="s">
        <v>405</v>
      </c>
      <c r="C40" s="357" t="s">
        <v>406</v>
      </c>
      <c r="D40" s="357">
        <v>716</v>
      </c>
      <c r="E40" s="727"/>
      <c r="I40" s="350"/>
      <c r="J40" s="351"/>
      <c r="K40" s="351"/>
    </row>
    <row r="41" spans="2:11" ht="17.5" thickBot="1" x14ac:dyDescent="0.45">
      <c r="B41" s="357" t="s">
        <v>407</v>
      </c>
      <c r="C41" s="358" t="s">
        <v>408</v>
      </c>
      <c r="D41" s="357">
        <v>858</v>
      </c>
      <c r="E41" s="727"/>
      <c r="I41" s="350"/>
      <c r="J41" s="351"/>
      <c r="K41" s="351"/>
    </row>
    <row r="42" spans="2:11" thickBot="1" x14ac:dyDescent="0.4">
      <c r="B42" s="357" t="s">
        <v>409</v>
      </c>
      <c r="C42" s="357" t="s">
        <v>410</v>
      </c>
      <c r="D42" s="357">
        <v>804</v>
      </c>
      <c r="E42" s="727"/>
      <c r="I42" s="350"/>
      <c r="J42" s="350"/>
      <c r="K42" s="350"/>
    </row>
    <row r="43" spans="2:11" ht="17.5" thickBot="1" x14ac:dyDescent="0.45">
      <c r="I43" s="350"/>
      <c r="J43" s="351"/>
      <c r="K43" s="350"/>
    </row>
    <row r="44" spans="2:11" ht="17.5" thickBot="1" x14ac:dyDescent="0.45">
      <c r="I44" s="361"/>
      <c r="J44" s="361"/>
      <c r="K44" s="362"/>
    </row>
    <row r="45" spans="2:11" ht="14.5" x14ac:dyDescent="0.35">
      <c r="B45" s="728" t="s">
        <v>411</v>
      </c>
      <c r="C45" s="728"/>
      <c r="D45" s="728"/>
      <c r="E45" s="728"/>
    </row>
    <row r="46" spans="2:11" ht="14.5" x14ac:dyDescent="0.35">
      <c r="B46" s="728"/>
      <c r="C46" s="728"/>
      <c r="D46" s="728"/>
      <c r="E46" s="728"/>
    </row>
    <row r="47" spans="2:11" x14ac:dyDescent="0.4">
      <c r="B47" s="364" t="s">
        <v>370</v>
      </c>
      <c r="C47" s="364" t="s">
        <v>371</v>
      </c>
      <c r="D47" s="364" t="s">
        <v>372</v>
      </c>
      <c r="E47" s="364" t="s">
        <v>350</v>
      </c>
    </row>
    <row r="48" spans="2:11" ht="16.5" x14ac:dyDescent="0.35">
      <c r="B48" s="357" t="s">
        <v>412</v>
      </c>
      <c r="C48" s="357" t="s">
        <v>413</v>
      </c>
      <c r="D48" s="363">
        <v>6630</v>
      </c>
      <c r="E48" s="726" t="s">
        <v>351</v>
      </c>
    </row>
    <row r="49" spans="2:5" ht="16.5" x14ac:dyDescent="0.35">
      <c r="B49" s="357" t="s">
        <v>414</v>
      </c>
      <c r="C49" s="357" t="s">
        <v>415</v>
      </c>
      <c r="D49" s="363">
        <v>11100</v>
      </c>
      <c r="E49" s="727"/>
    </row>
    <row r="50" spans="2:5" ht="16.5" x14ac:dyDescent="0.35">
      <c r="B50" s="357" t="s">
        <v>416</v>
      </c>
      <c r="C50" s="357" t="s">
        <v>417</v>
      </c>
      <c r="D50" s="363">
        <v>8900</v>
      </c>
      <c r="E50" s="727"/>
    </row>
    <row r="51" spans="2:5" ht="16.5" x14ac:dyDescent="0.35">
      <c r="B51" s="357" t="s">
        <v>418</v>
      </c>
      <c r="C51" s="357" t="s">
        <v>419</v>
      </c>
      <c r="D51" s="363">
        <v>9200</v>
      </c>
      <c r="E51" s="727"/>
    </row>
    <row r="52" spans="2:5" ht="16.5" x14ac:dyDescent="0.35">
      <c r="B52" s="357" t="s">
        <v>420</v>
      </c>
      <c r="C52" s="357" t="s">
        <v>421</v>
      </c>
      <c r="D52" s="363">
        <v>9540</v>
      </c>
      <c r="E52" s="727"/>
    </row>
    <row r="53" spans="2:5" ht="16.5" x14ac:dyDescent="0.35">
      <c r="B53" s="357" t="s">
        <v>422</v>
      </c>
      <c r="C53" s="357" t="s">
        <v>423</v>
      </c>
      <c r="D53" s="363">
        <v>8550</v>
      </c>
      <c r="E53" s="727"/>
    </row>
    <row r="54" spans="2:5" ht="16.5" x14ac:dyDescent="0.35">
      <c r="B54" s="357" t="s">
        <v>424</v>
      </c>
      <c r="C54" s="357" t="s">
        <v>425</v>
      </c>
      <c r="D54" s="363">
        <v>7910</v>
      </c>
      <c r="E54" s="727"/>
    </row>
    <row r="55" spans="2:5" ht="16.5" x14ac:dyDescent="0.35">
      <c r="B55" s="357" t="s">
        <v>426</v>
      </c>
      <c r="C55" s="357" t="s">
        <v>427</v>
      </c>
      <c r="D55" s="363">
        <v>7190</v>
      </c>
      <c r="E55" s="727"/>
    </row>
    <row r="56" spans="2:5" ht="16.5" x14ac:dyDescent="0.35">
      <c r="B56" s="357" t="s">
        <v>428</v>
      </c>
      <c r="C56" s="357" t="s">
        <v>429</v>
      </c>
      <c r="D56" s="363">
        <v>9200</v>
      </c>
      <c r="E56" s="727"/>
    </row>
  </sheetData>
  <sheetProtection formatCells="0" formatColumns="0" formatRows="0" insertColumns="0" insertRows="0" insertHyperlinks="0" deleteColumns="0" deleteRows="0" sort="0" autoFilter="0" pivotTables="0"/>
  <mergeCells count="15">
    <mergeCell ref="B2:G2"/>
    <mergeCell ref="B14:B15"/>
    <mergeCell ref="B16:B19"/>
    <mergeCell ref="E11:E19"/>
    <mergeCell ref="B11:B13"/>
    <mergeCell ref="E9:E10"/>
    <mergeCell ref="B9:B10"/>
    <mergeCell ref="C9:C10"/>
    <mergeCell ref="D9:D10"/>
    <mergeCell ref="B8:E8"/>
    <mergeCell ref="E24:E42"/>
    <mergeCell ref="B21:E22"/>
    <mergeCell ref="B45:E46"/>
    <mergeCell ref="E48:E56"/>
    <mergeCell ref="G11:H11"/>
  </mergeCells>
  <hyperlinks>
    <hyperlink ref="G4" r:id="rId1" xr:uid="{FC693774-BFE4-4895-9ADD-0E8259E1F30D}"/>
    <hyperlink ref="E24" r:id="rId2" xr:uid="{588BCDD2-E6EE-4CB4-AE1D-668F9140D1AC}"/>
    <hyperlink ref="E48" r:id="rId3" xr:uid="{8804DED6-8050-4CC6-989D-F71BB491EF25}"/>
    <hyperlink ref="E11:E19" r:id="rId4" display="https://ghgprotocol.org/sites/default/files/ghgp/Global-Warming-Potential-Values%20%28Feb%2016%202016%29_1.pdf" xr:uid="{8900A725-CA1B-41D4-AB3D-B52CD90250D1}"/>
    <hyperlink ref="E11" r:id="rId5" xr:uid="{0528170D-E4D1-47E4-8BCE-A6DC532E47FF}"/>
  </hyperlinks>
  <pageMargins left="0.7" right="0.7" top="0.75" bottom="0.75" header="0.3" footer="0.3"/>
  <pageSetup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0E0A-41A9-4CB9-962E-E45C5C224940}">
  <dimension ref="B2:L89"/>
  <sheetViews>
    <sheetView view="pageBreakPreview" topLeftCell="A73" zoomScale="80" zoomScaleNormal="30" zoomScaleSheetLayoutView="80" workbookViewId="0">
      <selection activeCell="G73" sqref="G73"/>
    </sheetView>
  </sheetViews>
  <sheetFormatPr baseColWidth="10" defaultColWidth="8.7265625" defaultRowHeight="14.5" x14ac:dyDescent="0.35"/>
  <cols>
    <col min="2" max="2" width="62.54296875" style="9" customWidth="1"/>
    <col min="3" max="3" width="19.54296875" customWidth="1"/>
    <col min="4" max="4" width="26.81640625" customWidth="1"/>
    <col min="5" max="6" width="23.26953125" customWidth="1"/>
    <col min="7" max="7" width="107.54296875" style="3" customWidth="1"/>
    <col min="12" max="12" width="37.26953125" customWidth="1"/>
  </cols>
  <sheetData>
    <row r="2" spans="2:12" ht="19" thickBot="1" x14ac:dyDescent="0.5">
      <c r="B2" s="752" t="s">
        <v>430</v>
      </c>
      <c r="C2" s="752"/>
      <c r="D2" s="752"/>
      <c r="E2" s="752"/>
      <c r="F2" s="752"/>
      <c r="G2" s="752"/>
    </row>
    <row r="3" spans="2:12" ht="45.75" customHeight="1" x14ac:dyDescent="0.35">
      <c r="B3" s="21" t="s">
        <v>431</v>
      </c>
      <c r="C3" s="753" t="s">
        <v>430</v>
      </c>
      <c r="D3" s="753"/>
      <c r="E3" s="753"/>
      <c r="F3" s="753" t="s">
        <v>432</v>
      </c>
      <c r="G3" s="753"/>
    </row>
    <row r="4" spans="2:12" x14ac:dyDescent="0.35">
      <c r="B4" s="751" t="s">
        <v>433</v>
      </c>
      <c r="C4" s="751"/>
      <c r="D4" s="751"/>
      <c r="E4" s="751"/>
      <c r="F4" s="751"/>
      <c r="G4" s="751"/>
    </row>
    <row r="5" spans="2:12" x14ac:dyDescent="0.35">
      <c r="B5" s="22"/>
      <c r="C5" s="28" t="s">
        <v>434</v>
      </c>
      <c r="D5" s="28" t="s">
        <v>435</v>
      </c>
      <c r="E5" s="28" t="s">
        <v>436</v>
      </c>
      <c r="F5" s="743"/>
      <c r="G5" s="743"/>
    </row>
    <row r="6" spans="2:12" x14ac:dyDescent="0.35">
      <c r="B6" s="8" t="s">
        <v>10</v>
      </c>
      <c r="C6" s="11">
        <v>1926</v>
      </c>
      <c r="D6" s="11">
        <v>3.6999999999999998E-2</v>
      </c>
      <c r="E6" s="11">
        <v>3.5000000000000003E-2</v>
      </c>
      <c r="F6" s="744" t="s">
        <v>437</v>
      </c>
      <c r="G6" s="744"/>
      <c r="L6" s="3"/>
    </row>
    <row r="7" spans="2:12" x14ac:dyDescent="0.35">
      <c r="B7" s="22"/>
      <c r="C7" s="28" t="s">
        <v>438</v>
      </c>
      <c r="D7" s="28" t="s">
        <v>439</v>
      </c>
      <c r="E7" s="28" t="s">
        <v>440</v>
      </c>
      <c r="F7" s="743"/>
      <c r="G7" s="743"/>
      <c r="L7" s="3"/>
    </row>
    <row r="8" spans="2:12" x14ac:dyDescent="0.35">
      <c r="B8" s="19" t="s">
        <v>441</v>
      </c>
      <c r="C8" s="5">
        <v>2753</v>
      </c>
      <c r="D8" s="7">
        <v>2.5999999999999999E-2</v>
      </c>
      <c r="E8" s="7">
        <v>3.1E-2</v>
      </c>
      <c r="F8" s="744" t="s">
        <v>442</v>
      </c>
      <c r="G8" s="744"/>
    </row>
    <row r="9" spans="2:12" x14ac:dyDescent="0.35">
      <c r="B9" s="8" t="s">
        <v>11</v>
      </c>
      <c r="C9" s="6">
        <v>1515</v>
      </c>
      <c r="D9" s="7">
        <v>2.4E-2</v>
      </c>
      <c r="E9" s="7">
        <v>0.108</v>
      </c>
      <c r="F9" s="744" t="s">
        <v>443</v>
      </c>
      <c r="G9" s="744"/>
    </row>
    <row r="10" spans="2:12" x14ac:dyDescent="0.35">
      <c r="B10" s="8" t="s">
        <v>444</v>
      </c>
      <c r="C10" s="6">
        <v>2681</v>
      </c>
      <c r="D10" s="7">
        <v>0.78</v>
      </c>
      <c r="E10" s="7">
        <v>2.1999999999999999E-2</v>
      </c>
      <c r="F10" s="744" t="s">
        <v>442</v>
      </c>
      <c r="G10" s="744"/>
    </row>
    <row r="11" spans="2:12" x14ac:dyDescent="0.35">
      <c r="B11" s="8" t="s">
        <v>445</v>
      </c>
      <c r="C11" s="6">
        <v>2307</v>
      </c>
      <c r="D11" s="7">
        <v>0.1</v>
      </c>
      <c r="E11" s="7">
        <v>0.02</v>
      </c>
      <c r="F11" s="754" t="s">
        <v>442</v>
      </c>
      <c r="G11" s="754"/>
    </row>
    <row r="12" spans="2:12" ht="16.5" customHeight="1" x14ac:dyDescent="0.35">
      <c r="B12" s="747" t="s">
        <v>446</v>
      </c>
      <c r="C12" s="747"/>
      <c r="D12" s="747"/>
      <c r="E12" s="747"/>
      <c r="F12" s="747"/>
      <c r="G12" s="747"/>
    </row>
    <row r="13" spans="2:12" ht="19.5" customHeight="1" x14ac:dyDescent="0.35">
      <c r="B13" s="23"/>
      <c r="C13" s="28" t="s">
        <v>438</v>
      </c>
      <c r="D13" s="28" t="s">
        <v>447</v>
      </c>
      <c r="E13" s="344" t="s">
        <v>448</v>
      </c>
      <c r="F13" s="743" t="s">
        <v>432</v>
      </c>
      <c r="G13" s="743"/>
    </row>
    <row r="14" spans="2:12" ht="14.5" customHeight="1" x14ac:dyDescent="0.35">
      <c r="B14" s="17" t="s">
        <v>449</v>
      </c>
      <c r="C14" s="5"/>
      <c r="D14" s="5"/>
      <c r="E14" s="5"/>
      <c r="F14" s="745" t="s">
        <v>450</v>
      </c>
      <c r="G14" s="745"/>
    </row>
    <row r="15" spans="2:12" x14ac:dyDescent="0.35">
      <c r="B15" s="8" t="s">
        <v>451</v>
      </c>
      <c r="C15" s="5"/>
      <c r="D15" s="5"/>
      <c r="E15" s="5"/>
      <c r="F15" s="745"/>
      <c r="G15" s="745"/>
    </row>
    <row r="16" spans="2:12" ht="14.5" customHeight="1" x14ac:dyDescent="0.35">
      <c r="B16" s="8" t="s">
        <v>452</v>
      </c>
      <c r="C16" s="10">
        <v>2307.3000000000002</v>
      </c>
      <c r="D16" s="5">
        <v>0.14000000000000001</v>
      </c>
      <c r="E16" s="5">
        <v>2.1999999999999999E-2</v>
      </c>
      <c r="F16" s="745"/>
      <c r="G16" s="745"/>
    </row>
    <row r="17" spans="2:7" x14ac:dyDescent="0.35">
      <c r="B17" s="8" t="s">
        <v>453</v>
      </c>
      <c r="C17" s="10">
        <v>2307.3000000000002</v>
      </c>
      <c r="D17" s="5">
        <v>0.23</v>
      </c>
      <c r="E17" s="5">
        <v>0.47</v>
      </c>
      <c r="F17" s="745"/>
      <c r="G17" s="745"/>
    </row>
    <row r="18" spans="2:7" x14ac:dyDescent="0.35">
      <c r="B18" s="8" t="s">
        <v>454</v>
      </c>
      <c r="C18" s="10">
        <v>2307.3000000000002</v>
      </c>
      <c r="D18" s="5">
        <v>0.32</v>
      </c>
      <c r="E18" s="5">
        <v>0.66</v>
      </c>
      <c r="F18" s="745"/>
      <c r="G18" s="745"/>
    </row>
    <row r="19" spans="2:7" x14ac:dyDescent="0.35">
      <c r="B19" s="8" t="s">
        <v>455</v>
      </c>
      <c r="C19" s="10">
        <v>2307.3000000000002</v>
      </c>
      <c r="D19" s="5">
        <v>0.52</v>
      </c>
      <c r="E19" s="5">
        <v>0.2</v>
      </c>
      <c r="F19" s="745"/>
      <c r="G19" s="745"/>
    </row>
    <row r="20" spans="2:7" x14ac:dyDescent="0.35">
      <c r="B20" s="8" t="s">
        <v>456</v>
      </c>
      <c r="C20" s="10">
        <v>2307.3000000000002</v>
      </c>
      <c r="D20" s="5">
        <v>0.46</v>
      </c>
      <c r="E20" s="5">
        <v>2.8000000000000001E-2</v>
      </c>
      <c r="F20" s="745"/>
      <c r="G20" s="745"/>
    </row>
    <row r="21" spans="2:7" x14ac:dyDescent="0.35">
      <c r="B21" s="17" t="s">
        <v>457</v>
      </c>
      <c r="C21" s="5"/>
      <c r="D21" s="5"/>
      <c r="E21" s="5"/>
      <c r="F21" s="745"/>
      <c r="G21" s="745"/>
    </row>
    <row r="22" spans="2:7" x14ac:dyDescent="0.35">
      <c r="B22" s="8" t="s">
        <v>458</v>
      </c>
      <c r="C22" s="10">
        <v>2307.3000000000002</v>
      </c>
      <c r="D22" s="5">
        <v>0.14000000000000001</v>
      </c>
      <c r="E22" s="5">
        <v>2.1999999999999999E-2</v>
      </c>
      <c r="F22" s="745"/>
      <c r="G22" s="745"/>
    </row>
    <row r="23" spans="2:7" x14ac:dyDescent="0.35">
      <c r="B23" s="8" t="s">
        <v>453</v>
      </c>
      <c r="C23" s="10">
        <v>2307.3000000000002</v>
      </c>
      <c r="D23" s="5">
        <v>0.24</v>
      </c>
      <c r="E23" s="5">
        <v>0.57999999999999996</v>
      </c>
      <c r="F23" s="745"/>
      <c r="G23" s="745"/>
    </row>
    <row r="24" spans="2:7" x14ac:dyDescent="0.35">
      <c r="B24" s="8" t="s">
        <v>454</v>
      </c>
      <c r="C24" s="10">
        <v>2307.3000000000002</v>
      </c>
      <c r="D24" s="5">
        <v>0.21</v>
      </c>
      <c r="E24" s="5">
        <v>0.66</v>
      </c>
      <c r="F24" s="745"/>
      <c r="G24" s="745"/>
    </row>
    <row r="25" spans="2:7" x14ac:dyDescent="0.35">
      <c r="B25" s="8" t="s">
        <v>459</v>
      </c>
      <c r="C25" s="10">
        <v>2307.3000000000002</v>
      </c>
      <c r="D25" s="5">
        <v>0.43</v>
      </c>
      <c r="E25" s="5">
        <v>0.2</v>
      </c>
      <c r="F25" s="745"/>
      <c r="G25" s="745"/>
    </row>
    <row r="26" spans="2:7" x14ac:dyDescent="0.35">
      <c r="B26" s="8" t="s">
        <v>456</v>
      </c>
      <c r="C26" s="10">
        <v>2307.3000000000002</v>
      </c>
      <c r="D26" s="11">
        <v>0.56000000000000005</v>
      </c>
      <c r="E26" s="11">
        <v>2.8000000000000001E-2</v>
      </c>
      <c r="F26" s="745"/>
      <c r="G26" s="745"/>
    </row>
    <row r="27" spans="2:7" x14ac:dyDescent="0.35">
      <c r="B27" s="18" t="s">
        <v>460</v>
      </c>
      <c r="C27" s="5"/>
      <c r="D27" s="5"/>
      <c r="E27" s="5"/>
      <c r="F27" s="745"/>
      <c r="G27" s="745"/>
    </row>
    <row r="28" spans="2:7" x14ac:dyDescent="0.35">
      <c r="B28" s="8" t="s">
        <v>461</v>
      </c>
      <c r="C28" s="10">
        <v>2307.3000000000002</v>
      </c>
      <c r="D28" s="5">
        <v>6.8000000000000005E-2</v>
      </c>
      <c r="E28" s="11">
        <v>0.2</v>
      </c>
      <c r="F28" s="745"/>
      <c r="G28" s="745"/>
    </row>
    <row r="29" spans="2:7" x14ac:dyDescent="0.35">
      <c r="B29" s="8" t="s">
        <v>456</v>
      </c>
      <c r="C29" s="10">
        <v>2307.3000000000002</v>
      </c>
      <c r="D29" s="5">
        <v>0.28999999999999998</v>
      </c>
      <c r="E29" s="5">
        <v>4.7E-2</v>
      </c>
      <c r="F29" s="745"/>
      <c r="G29" s="745"/>
    </row>
    <row r="30" spans="2:7" ht="22" customHeight="1" x14ac:dyDescent="0.35">
      <c r="B30" s="19" t="s">
        <v>462</v>
      </c>
      <c r="C30" s="10">
        <v>2307.3000000000002</v>
      </c>
      <c r="D30" s="5">
        <v>0.49</v>
      </c>
      <c r="E30" s="5">
        <v>8.4000000000000005E-2</v>
      </c>
      <c r="F30" s="745"/>
      <c r="G30" s="745"/>
    </row>
    <row r="31" spans="2:7" x14ac:dyDescent="0.35">
      <c r="B31" s="18" t="s">
        <v>463</v>
      </c>
      <c r="C31" s="12"/>
      <c r="D31" s="12"/>
      <c r="E31" s="12"/>
      <c r="F31" s="745"/>
      <c r="G31" s="745"/>
    </row>
    <row r="32" spans="2:7" x14ac:dyDescent="0.35">
      <c r="B32" s="19" t="s">
        <v>464</v>
      </c>
      <c r="C32" s="13">
        <v>2307.3000000000002</v>
      </c>
      <c r="D32" s="12">
        <v>0.77</v>
      </c>
      <c r="E32" s="14">
        <v>4.1000000000000002E-2</v>
      </c>
      <c r="F32" s="745"/>
      <c r="G32" s="745"/>
    </row>
    <row r="33" spans="2:7" x14ac:dyDescent="0.35">
      <c r="B33" s="19" t="s">
        <v>462</v>
      </c>
      <c r="C33" s="13">
        <v>2307.3000000000002</v>
      </c>
      <c r="D33" s="12">
        <v>2.2999999999999998</v>
      </c>
      <c r="E33" s="12">
        <v>4.8000000000000001E-2</v>
      </c>
      <c r="F33" s="745"/>
      <c r="G33" s="745"/>
    </row>
    <row r="34" spans="2:7" x14ac:dyDescent="0.35">
      <c r="B34" s="18" t="s">
        <v>465</v>
      </c>
      <c r="C34" s="12"/>
      <c r="D34" s="12"/>
      <c r="E34" s="12"/>
      <c r="F34" s="745"/>
      <c r="G34" s="745"/>
    </row>
    <row r="35" spans="2:7" ht="22" customHeight="1" x14ac:dyDescent="0.35">
      <c r="B35" s="18" t="s">
        <v>466</v>
      </c>
      <c r="C35" s="12"/>
      <c r="D35" s="12"/>
      <c r="E35" s="12"/>
      <c r="F35" s="745"/>
      <c r="G35" s="745"/>
    </row>
    <row r="36" spans="2:7" x14ac:dyDescent="0.35">
      <c r="B36" s="19" t="s">
        <v>467</v>
      </c>
      <c r="C36" s="13">
        <v>2680.5</v>
      </c>
      <c r="D36" s="12">
        <v>5.0999999999999997E-2</v>
      </c>
      <c r="E36" s="12">
        <v>0.22</v>
      </c>
      <c r="F36" s="745"/>
      <c r="G36" s="745"/>
    </row>
    <row r="37" spans="2:7" x14ac:dyDescent="0.35">
      <c r="B37" s="19" t="s">
        <v>468</v>
      </c>
      <c r="C37" s="13">
        <v>2680.5</v>
      </c>
      <c r="D37" s="12">
        <v>6.8000000000000005E-2</v>
      </c>
      <c r="E37" s="12">
        <v>0.21</v>
      </c>
      <c r="F37" s="745"/>
      <c r="G37" s="745"/>
    </row>
    <row r="38" spans="2:7" x14ac:dyDescent="0.35">
      <c r="B38" s="19" t="s">
        <v>469</v>
      </c>
      <c r="C38" s="13">
        <v>2680.5</v>
      </c>
      <c r="D38" s="12">
        <v>0.1</v>
      </c>
      <c r="E38" s="12">
        <v>0.16</v>
      </c>
      <c r="F38" s="745"/>
      <c r="G38" s="745"/>
    </row>
    <row r="39" spans="2:7" x14ac:dyDescent="0.35">
      <c r="B39" s="18" t="s">
        <v>470</v>
      </c>
      <c r="C39" s="12"/>
      <c r="D39" s="12"/>
      <c r="E39" s="12"/>
      <c r="F39" s="745"/>
      <c r="G39" s="745"/>
    </row>
    <row r="40" spans="2:7" x14ac:dyDescent="0.35">
      <c r="B40" s="19" t="s">
        <v>467</v>
      </c>
      <c r="C40" s="13">
        <v>2680.5</v>
      </c>
      <c r="D40" s="12">
        <v>6.8000000000000005E-2</v>
      </c>
      <c r="E40" s="12">
        <v>0.22</v>
      </c>
      <c r="F40" s="745"/>
      <c r="G40" s="745"/>
    </row>
    <row r="41" spans="2:7" x14ac:dyDescent="0.35">
      <c r="B41" s="19" t="s">
        <v>468</v>
      </c>
      <c r="C41" s="13">
        <v>2680.5</v>
      </c>
      <c r="D41" s="12">
        <v>6.8000000000000005E-2</v>
      </c>
      <c r="E41" s="12">
        <v>0.21</v>
      </c>
      <c r="F41" s="745"/>
      <c r="G41" s="745"/>
    </row>
    <row r="42" spans="2:7" ht="13" customHeight="1" x14ac:dyDescent="0.35">
      <c r="B42" s="19" t="s">
        <v>471</v>
      </c>
      <c r="C42" s="13">
        <v>2680.5</v>
      </c>
      <c r="D42" s="12">
        <v>8.5000000000000006E-2</v>
      </c>
      <c r="E42" s="12">
        <v>0.16</v>
      </c>
      <c r="F42" s="745"/>
      <c r="G42" s="745"/>
    </row>
    <row r="43" spans="2:7" x14ac:dyDescent="0.35">
      <c r="B43" s="18" t="s">
        <v>472</v>
      </c>
      <c r="C43" s="12"/>
      <c r="D43" s="12"/>
      <c r="E43" s="12"/>
      <c r="F43" s="745"/>
      <c r="G43" s="745"/>
    </row>
    <row r="44" spans="2:7" x14ac:dyDescent="0.35">
      <c r="B44" s="19" t="s">
        <v>473</v>
      </c>
      <c r="C44" s="13">
        <v>2680.5</v>
      </c>
      <c r="D44" s="12">
        <v>0.11</v>
      </c>
      <c r="E44" s="12">
        <v>0.151</v>
      </c>
      <c r="F44" s="745"/>
      <c r="G44" s="745"/>
    </row>
    <row r="45" spans="2:7" x14ac:dyDescent="0.35">
      <c r="B45" s="19" t="s">
        <v>468</v>
      </c>
      <c r="C45" s="13">
        <v>2680.5</v>
      </c>
      <c r="D45" s="12">
        <v>0.14000000000000001</v>
      </c>
      <c r="E45" s="12">
        <v>8.2000000000000003E-2</v>
      </c>
      <c r="F45" s="745"/>
      <c r="G45" s="745"/>
    </row>
    <row r="46" spans="2:7" x14ac:dyDescent="0.35">
      <c r="B46" s="19" t="s">
        <v>462</v>
      </c>
      <c r="C46" s="13">
        <v>2680.5</v>
      </c>
      <c r="D46" s="12">
        <v>0.15</v>
      </c>
      <c r="E46" s="12">
        <v>7.4999999999999997E-2</v>
      </c>
      <c r="F46" s="745"/>
      <c r="G46" s="745"/>
    </row>
    <row r="47" spans="2:7" x14ac:dyDescent="0.35">
      <c r="B47" s="19" t="s">
        <v>474</v>
      </c>
      <c r="C47" s="12">
        <v>1.9</v>
      </c>
      <c r="D47" s="12">
        <v>8.9999999999999993E-3</v>
      </c>
      <c r="E47" s="12">
        <v>6.0000000000000002E-5</v>
      </c>
      <c r="F47" s="745"/>
      <c r="G47" s="745"/>
    </row>
    <row r="48" spans="2:7" x14ac:dyDescent="0.35">
      <c r="B48" s="19" t="s">
        <v>475</v>
      </c>
      <c r="C48" s="15">
        <v>1515</v>
      </c>
      <c r="D48" s="12">
        <v>0.64</v>
      </c>
      <c r="E48" s="12">
        <v>2.8000000000000001E-2</v>
      </c>
      <c r="F48" s="745"/>
      <c r="G48" s="745"/>
    </row>
    <row r="49" spans="2:7" ht="17.149999999999999" customHeight="1" x14ac:dyDescent="0.35">
      <c r="B49" s="20" t="s">
        <v>476</v>
      </c>
      <c r="C49" s="12"/>
      <c r="D49" s="12"/>
      <c r="E49" s="12"/>
      <c r="F49" s="745"/>
      <c r="G49" s="745"/>
    </row>
    <row r="50" spans="2:7" x14ac:dyDescent="0.35">
      <c r="B50" s="19" t="s">
        <v>477</v>
      </c>
      <c r="C50" s="12">
        <v>2307.3000000000002</v>
      </c>
      <c r="D50" s="12">
        <v>10.61</v>
      </c>
      <c r="E50" s="12">
        <v>1.2999999999999999E-2</v>
      </c>
      <c r="F50" s="745"/>
      <c r="G50" s="745"/>
    </row>
    <row r="51" spans="2:7" x14ac:dyDescent="0.35">
      <c r="B51" s="19" t="s">
        <v>478</v>
      </c>
      <c r="C51" s="13">
        <v>2307.3000000000002</v>
      </c>
      <c r="D51" s="12">
        <v>5.08</v>
      </c>
      <c r="E51" s="12">
        <v>6.4000000000000001E-2</v>
      </c>
      <c r="F51" s="745"/>
      <c r="G51" s="745"/>
    </row>
    <row r="52" spans="2:7" x14ac:dyDescent="0.35">
      <c r="B52" s="19" t="s">
        <v>479</v>
      </c>
      <c r="C52" s="13">
        <v>2680.5</v>
      </c>
      <c r="D52" s="12">
        <v>7.2999999999999995E-2</v>
      </c>
      <c r="E52" s="12">
        <v>2.1999999999999999E-2</v>
      </c>
      <c r="F52" s="745"/>
      <c r="G52" s="745"/>
    </row>
    <row r="53" spans="2:7" x14ac:dyDescent="0.35">
      <c r="B53" s="8" t="s">
        <v>480</v>
      </c>
      <c r="C53" s="13">
        <v>2680.5</v>
      </c>
      <c r="D53" s="12">
        <v>7.2999999999999995E-2</v>
      </c>
      <c r="E53" s="12">
        <v>2.1999999999999999E-2</v>
      </c>
      <c r="F53" s="745"/>
      <c r="G53" s="745"/>
    </row>
    <row r="54" spans="2:7" x14ac:dyDescent="0.35">
      <c r="B54" s="19" t="s">
        <v>481</v>
      </c>
      <c r="C54" s="13">
        <v>2680.5</v>
      </c>
      <c r="D54" s="12">
        <v>7.2999999999999995E-2</v>
      </c>
      <c r="E54" s="12">
        <v>0.22700000000000001</v>
      </c>
      <c r="F54" s="745"/>
      <c r="G54" s="745"/>
    </row>
    <row r="55" spans="2:7" x14ac:dyDescent="0.35">
      <c r="B55" s="19" t="s">
        <v>482</v>
      </c>
      <c r="C55" s="10">
        <v>1.9</v>
      </c>
      <c r="D55" s="5">
        <v>8.8000000000000005E-3</v>
      </c>
      <c r="E55" s="5">
        <v>6.0000000000000002E-5</v>
      </c>
      <c r="F55" s="745"/>
      <c r="G55" s="745"/>
    </row>
    <row r="56" spans="2:7" x14ac:dyDescent="0.35">
      <c r="B56" s="19" t="s">
        <v>483</v>
      </c>
      <c r="C56" s="15">
        <v>1515</v>
      </c>
      <c r="D56" s="12">
        <v>0.64</v>
      </c>
      <c r="E56" s="12">
        <v>8.6999999999999994E-2</v>
      </c>
      <c r="F56" s="745"/>
      <c r="G56" s="745"/>
    </row>
    <row r="57" spans="2:7" x14ac:dyDescent="0.35">
      <c r="B57" s="18" t="s">
        <v>484</v>
      </c>
      <c r="C57" s="16"/>
      <c r="D57" s="16"/>
      <c r="E57" s="16"/>
      <c r="F57" s="745"/>
      <c r="G57" s="745"/>
    </row>
    <row r="58" spans="2:7" ht="18.649999999999999" customHeight="1" x14ac:dyDescent="0.35">
      <c r="B58" s="19" t="s">
        <v>485</v>
      </c>
      <c r="C58" s="13">
        <v>2680.5</v>
      </c>
      <c r="D58" s="12">
        <v>0.14899999999999999</v>
      </c>
      <c r="E58" s="12">
        <v>1.0289999999999999</v>
      </c>
      <c r="F58" s="745"/>
      <c r="G58" s="745"/>
    </row>
    <row r="59" spans="2:7" x14ac:dyDescent="0.35">
      <c r="B59" s="18" t="s">
        <v>486</v>
      </c>
      <c r="C59" s="12"/>
      <c r="D59" s="12"/>
      <c r="E59" s="12"/>
      <c r="F59" s="745"/>
      <c r="G59" s="745"/>
    </row>
    <row r="60" spans="2:7" x14ac:dyDescent="0.35">
      <c r="B60" s="19" t="s">
        <v>487</v>
      </c>
      <c r="C60" s="13">
        <v>2307.3000000000002</v>
      </c>
      <c r="D60" s="12">
        <v>0.21931</v>
      </c>
      <c r="E60" s="12">
        <v>6.2659999999999993E-2</v>
      </c>
      <c r="F60" s="745"/>
      <c r="G60" s="745"/>
    </row>
    <row r="61" spans="2:7" x14ac:dyDescent="0.35">
      <c r="B61" s="19" t="s">
        <v>444</v>
      </c>
      <c r="C61" s="13">
        <v>2680.5</v>
      </c>
      <c r="D61" s="12">
        <v>0.25192999999999999</v>
      </c>
      <c r="E61" s="12">
        <v>7.1980000000000002E-2</v>
      </c>
      <c r="F61" s="745"/>
      <c r="G61" s="745"/>
    </row>
    <row r="62" spans="2:7" ht="17.149999999999999" customHeight="1" x14ac:dyDescent="0.35">
      <c r="B62" s="19" t="s">
        <v>488</v>
      </c>
      <c r="C62" s="6">
        <v>2753</v>
      </c>
      <c r="D62" s="5">
        <v>0.2555</v>
      </c>
      <c r="E62" s="5">
        <v>7.2999999999999995E-2</v>
      </c>
      <c r="F62" s="745"/>
      <c r="G62" s="745"/>
    </row>
    <row r="63" spans="2:7" ht="23.15" customHeight="1" x14ac:dyDescent="0.35">
      <c r="B63" s="19" t="s">
        <v>489</v>
      </c>
      <c r="C63" s="6">
        <v>3156</v>
      </c>
      <c r="D63" s="5">
        <v>0.28560000000000002</v>
      </c>
      <c r="E63" s="5">
        <v>8.1600000000000006E-2</v>
      </c>
      <c r="F63" s="745"/>
      <c r="G63" s="745"/>
    </row>
    <row r="64" spans="2:7" x14ac:dyDescent="0.35">
      <c r="B64" s="19" t="s">
        <v>490</v>
      </c>
      <c r="C64" s="10">
        <v>2559.6999999999998</v>
      </c>
      <c r="D64" s="5">
        <v>0.24709999999999999</v>
      </c>
      <c r="E64" s="5">
        <v>7.0599999999999996E-2</v>
      </c>
      <c r="F64" s="745"/>
      <c r="G64" s="745"/>
    </row>
    <row r="65" spans="2:8" x14ac:dyDescent="0.35">
      <c r="B65" s="18" t="s">
        <v>491</v>
      </c>
      <c r="C65" s="16"/>
      <c r="D65" s="16"/>
      <c r="E65" s="16"/>
      <c r="F65" s="745"/>
      <c r="G65" s="745"/>
    </row>
    <row r="66" spans="2:8" x14ac:dyDescent="0.35">
      <c r="B66" s="19" t="s">
        <v>492</v>
      </c>
      <c r="C66" s="10">
        <v>2325.4</v>
      </c>
      <c r="D66" s="5">
        <v>2.19</v>
      </c>
      <c r="E66" s="5">
        <v>0.23</v>
      </c>
      <c r="F66" s="745"/>
      <c r="G66" s="745"/>
    </row>
    <row r="67" spans="2:8" ht="25.5" customHeight="1" x14ac:dyDescent="0.35">
      <c r="B67" s="19" t="s">
        <v>493</v>
      </c>
      <c r="C67" s="10">
        <v>2559.6999999999998</v>
      </c>
      <c r="D67" s="5">
        <v>2.9000000000000001E-2</v>
      </c>
      <c r="E67" s="5">
        <v>7.1099999999999997E-2</v>
      </c>
      <c r="F67" s="745"/>
      <c r="G67" s="745"/>
    </row>
    <row r="68" spans="2:8" x14ac:dyDescent="0.35">
      <c r="B68" s="18" t="s">
        <v>494</v>
      </c>
      <c r="C68" s="16"/>
      <c r="D68" s="16"/>
      <c r="E68" s="16"/>
      <c r="F68" s="745"/>
      <c r="G68" s="745"/>
    </row>
    <row r="69" spans="2:8" x14ac:dyDescent="0.35">
      <c r="B69" s="19" t="s">
        <v>495</v>
      </c>
      <c r="C69" s="10">
        <v>1508.04</v>
      </c>
      <c r="D69" s="16"/>
      <c r="E69" s="16"/>
      <c r="F69" s="745"/>
      <c r="G69" s="745"/>
    </row>
    <row r="70" spans="2:8" x14ac:dyDescent="0.35">
      <c r="B70" s="19" t="s">
        <v>496</v>
      </c>
      <c r="C70" s="10">
        <v>2472.1999999999998</v>
      </c>
      <c r="D70" s="16"/>
      <c r="E70" s="16"/>
      <c r="F70" s="745"/>
      <c r="G70" s="745"/>
    </row>
    <row r="71" spans="2:8" ht="15.5" x14ac:dyDescent="0.35">
      <c r="B71" s="747" t="s">
        <v>497</v>
      </c>
      <c r="C71" s="747"/>
      <c r="D71" s="747"/>
      <c r="E71" s="747"/>
      <c r="F71" s="747"/>
      <c r="G71" s="747"/>
    </row>
    <row r="72" spans="2:8" x14ac:dyDescent="0.35">
      <c r="B72" s="23"/>
      <c r="C72" s="28" t="s">
        <v>498</v>
      </c>
      <c r="D72" s="28" t="s">
        <v>499</v>
      </c>
      <c r="E72" s="28" t="s">
        <v>500</v>
      </c>
      <c r="F72" s="348" t="s">
        <v>501</v>
      </c>
      <c r="G72" s="28" t="s">
        <v>432</v>
      </c>
    </row>
    <row r="73" spans="2:8" x14ac:dyDescent="0.35">
      <c r="B73" s="8" t="s">
        <v>502</v>
      </c>
      <c r="C73" s="5"/>
      <c r="D73" s="5"/>
      <c r="E73" s="5"/>
      <c r="F73" s="5">
        <v>1.9</v>
      </c>
      <c r="G73" s="346" t="s">
        <v>503</v>
      </c>
      <c r="H73" s="347"/>
    </row>
    <row r="74" spans="2:8" ht="15.65" customHeight="1" x14ac:dyDescent="0.35">
      <c r="B74" s="747" t="s">
        <v>504</v>
      </c>
      <c r="C74" s="747"/>
      <c r="D74" s="747"/>
      <c r="E74" s="747"/>
      <c r="F74" s="747"/>
      <c r="G74" s="747"/>
    </row>
    <row r="75" spans="2:8" ht="19" customHeight="1" x14ac:dyDescent="0.35">
      <c r="B75" s="23"/>
      <c r="C75" s="28" t="s">
        <v>505</v>
      </c>
      <c r="D75" s="28" t="s">
        <v>506</v>
      </c>
      <c r="E75" s="28" t="s">
        <v>507</v>
      </c>
      <c r="F75" s="28" t="s">
        <v>508</v>
      </c>
      <c r="G75" s="141" t="s">
        <v>432</v>
      </c>
    </row>
    <row r="76" spans="2:8" ht="19" customHeight="1" x14ac:dyDescent="0.35">
      <c r="B76" s="19" t="s">
        <v>509</v>
      </c>
      <c r="C76" s="748" t="s">
        <v>510</v>
      </c>
      <c r="D76" s="748"/>
      <c r="E76" s="748"/>
      <c r="F76" s="12">
        <v>1027000</v>
      </c>
      <c r="G76" s="29" t="s">
        <v>511</v>
      </c>
    </row>
    <row r="77" spans="2:8" ht="19" customHeight="1" x14ac:dyDescent="0.35">
      <c r="B77" s="747" t="s">
        <v>512</v>
      </c>
      <c r="C77" s="747"/>
      <c r="D77" s="747"/>
      <c r="E77" s="747"/>
      <c r="F77" s="747"/>
      <c r="G77" s="747"/>
    </row>
    <row r="78" spans="2:8" ht="19" customHeight="1" x14ac:dyDescent="0.35">
      <c r="B78" s="23"/>
      <c r="C78" s="28" t="s">
        <v>434</v>
      </c>
      <c r="D78" s="28" t="s">
        <v>513</v>
      </c>
      <c r="E78" s="28" t="s">
        <v>436</v>
      </c>
      <c r="F78" s="28" t="s">
        <v>514</v>
      </c>
      <c r="G78" s="141" t="s">
        <v>432</v>
      </c>
    </row>
    <row r="79" spans="2:8" ht="19" customHeight="1" x14ac:dyDescent="0.35">
      <c r="B79" s="19" t="s">
        <v>515</v>
      </c>
      <c r="C79" s="26">
        <v>0</v>
      </c>
      <c r="D79" s="26">
        <v>0</v>
      </c>
      <c r="E79" s="26">
        <v>0</v>
      </c>
      <c r="F79" s="26">
        <v>1.9</v>
      </c>
      <c r="G79" s="27" t="s">
        <v>516</v>
      </c>
    </row>
    <row r="80" spans="2:8" ht="41.15" customHeight="1" x14ac:dyDescent="0.35">
      <c r="B80" s="23"/>
      <c r="C80" s="28"/>
      <c r="D80" s="28" t="s">
        <v>517</v>
      </c>
      <c r="E80" s="28" t="s">
        <v>518</v>
      </c>
      <c r="F80" s="345"/>
      <c r="G80" s="141" t="s">
        <v>432</v>
      </c>
    </row>
    <row r="81" spans="2:7" ht="87.65" customHeight="1" x14ac:dyDescent="0.35">
      <c r="B81" s="156" t="s">
        <v>519</v>
      </c>
      <c r="C81" s="157"/>
      <c r="D81" s="157" t="s">
        <v>520</v>
      </c>
      <c r="E81" s="157" t="s">
        <v>521</v>
      </c>
      <c r="F81" s="328"/>
      <c r="G81" s="349" t="s">
        <v>522</v>
      </c>
    </row>
    <row r="82" spans="2:7" ht="87.65" customHeight="1" x14ac:dyDescent="0.35">
      <c r="B82" s="11"/>
      <c r="C82" s="28" t="s">
        <v>523</v>
      </c>
      <c r="D82" s="28" t="s">
        <v>524</v>
      </c>
      <c r="E82" s="28" t="s">
        <v>525</v>
      </c>
      <c r="F82" s="28"/>
      <c r="G82" s="171" t="s">
        <v>432</v>
      </c>
    </row>
    <row r="83" spans="2:7" x14ac:dyDescent="0.35">
      <c r="B83" s="91" t="s">
        <v>526</v>
      </c>
      <c r="C83" s="12">
        <v>1539</v>
      </c>
      <c r="D83" s="12">
        <v>12.9</v>
      </c>
      <c r="E83" s="12">
        <v>0.12</v>
      </c>
      <c r="F83" s="16"/>
      <c r="G83" s="749" t="s">
        <v>527</v>
      </c>
    </row>
    <row r="84" spans="2:7" x14ac:dyDescent="0.35">
      <c r="B84" s="91" t="s">
        <v>528</v>
      </c>
      <c r="C84" s="12">
        <v>1539</v>
      </c>
      <c r="D84" s="12">
        <v>4.12</v>
      </c>
      <c r="E84" s="12">
        <v>5.8999999999999997E-2</v>
      </c>
      <c r="F84" s="16"/>
      <c r="G84" s="750"/>
    </row>
    <row r="85" spans="2:7" x14ac:dyDescent="0.35">
      <c r="B85" s="205"/>
      <c r="C85" s="28" t="s">
        <v>438</v>
      </c>
      <c r="D85" s="28" t="s">
        <v>447</v>
      </c>
      <c r="E85" s="28" t="s">
        <v>448</v>
      </c>
      <c r="F85" s="28"/>
      <c r="G85" s="171" t="s">
        <v>432</v>
      </c>
    </row>
    <row r="86" spans="2:7" ht="29" x14ac:dyDescent="0.35">
      <c r="B86" s="18" t="s">
        <v>529</v>
      </c>
      <c r="C86" s="5">
        <v>3156</v>
      </c>
      <c r="D86" s="7">
        <v>0.12</v>
      </c>
      <c r="E86" s="7">
        <v>6.4000000000000001E-2</v>
      </c>
      <c r="F86" s="744" t="s">
        <v>442</v>
      </c>
      <c r="G86" s="746"/>
    </row>
    <row r="87" spans="2:7" ht="29" x14ac:dyDescent="0.35">
      <c r="B87" s="18" t="s">
        <v>530</v>
      </c>
      <c r="C87" s="5">
        <v>2753</v>
      </c>
      <c r="D87" s="7">
        <v>2.5999999999999999E-2</v>
      </c>
      <c r="E87" s="7">
        <v>3.1E-2</v>
      </c>
      <c r="F87" s="744" t="s">
        <v>442</v>
      </c>
      <c r="G87" s="746"/>
    </row>
    <row r="88" spans="2:7" x14ac:dyDescent="0.35">
      <c r="B88" s="742" t="s">
        <v>531</v>
      </c>
      <c r="C88" s="742"/>
      <c r="D88" s="742"/>
      <c r="E88" s="742"/>
      <c r="F88" s="742"/>
      <c r="G88" s="742"/>
    </row>
    <row r="89" spans="2:7" x14ac:dyDescent="0.35">
      <c r="B89" s="742"/>
      <c r="C89" s="742"/>
      <c r="D89" s="742"/>
      <c r="E89" s="742"/>
      <c r="F89" s="742"/>
      <c r="G89" s="742"/>
    </row>
  </sheetData>
  <sheetProtection formatCells="0" formatColumns="0" formatRows="0" insertColumns="0" insertRows="0" insertHyperlinks="0" deleteColumns="0" deleteRows="0" sort="0" autoFilter="0" pivotTables="0"/>
  <mergeCells count="22">
    <mergeCell ref="B4:G4"/>
    <mergeCell ref="B2:G2"/>
    <mergeCell ref="C3:E3"/>
    <mergeCell ref="B12:G12"/>
    <mergeCell ref="F3:G3"/>
    <mergeCell ref="F11:G11"/>
    <mergeCell ref="F8:G8"/>
    <mergeCell ref="B88:G89"/>
    <mergeCell ref="F5:G5"/>
    <mergeCell ref="F6:G6"/>
    <mergeCell ref="F7:G7"/>
    <mergeCell ref="F14:G70"/>
    <mergeCell ref="F13:G13"/>
    <mergeCell ref="F10:G10"/>
    <mergeCell ref="F87:G87"/>
    <mergeCell ref="F9:G9"/>
    <mergeCell ref="B71:G71"/>
    <mergeCell ref="C76:E76"/>
    <mergeCell ref="F86:G86"/>
    <mergeCell ref="B74:G74"/>
    <mergeCell ref="G83:G84"/>
    <mergeCell ref="B77:G77"/>
  </mergeCells>
  <hyperlinks>
    <hyperlink ref="F6" r:id="rId1" xr:uid="{4F8A10F6-15D6-4B66-9459-33A27ED8BD61}"/>
    <hyperlink ref="F87" r:id="rId2" xr:uid="{58EC1E46-21C8-4710-9842-6FD87EBADE87}"/>
    <hyperlink ref="B88:G89" r:id="rId3" display="***Veuillez prendre note que le rapport d'inventaire national du Canada est mis à jour annuellement. Il est important de prendre la dernière version du rapport d'inventaire national du Canada. ****" xr:uid="{E6541C68-9FC9-4650-ADB7-109CF8A35EE2}"/>
    <hyperlink ref="F9" r:id="rId4" xr:uid="{5E74CF34-7620-489C-9A82-9AAAB0769263}"/>
    <hyperlink ref="F10" r:id="rId5" xr:uid="{FC9FA0A7-2025-4CDC-99D8-7A37BA9D87AD}"/>
    <hyperlink ref="G73" r:id="rId6" display="tiré du rapport d'inventaire national1990-2020:Sources et puits de gaz à effet de serre au Canada" xr:uid="{AA09D237-5EB2-4430-B866-34646305C9B6}"/>
    <hyperlink ref="G76" r:id="rId7" xr:uid="{E5146F3A-C1E0-4DC8-A109-2F3C500223E7}"/>
    <hyperlink ref="G79" r:id="rId8" xr:uid="{7744962A-F4C1-4AC3-85C3-9DD76D268FAF}"/>
    <hyperlink ref="F8" r:id="rId9" xr:uid="{A1C7661B-1BA7-4B72-BDA5-AD1367A01157}"/>
    <hyperlink ref="F86" r:id="rId10" xr:uid="{AD1AA95A-23D5-432A-96F9-9798DCA4ED24}"/>
    <hyperlink ref="G83:G84" r:id="rId11" display="Tableau A6,6,1 tiré du rapport d'inventaire national 1990-2020: Sources et puits de gaz à effet de serre au Canada" xr:uid="{5FA19C2B-DF1B-4F04-983A-8B80D70B4FB4}"/>
  </hyperlinks>
  <pageMargins left="0.7" right="0.7" top="0.75" bottom="0.75" header="0.3" footer="0.3"/>
  <pageSetup scale="32" orientation="portrait"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F01C8-0157-4ACA-AF3F-02981FEAAD5E}">
  <dimension ref="A1:F540"/>
  <sheetViews>
    <sheetView tabSelected="1" topLeftCell="A112" zoomScale="85" zoomScaleNormal="85" workbookViewId="0">
      <selection activeCell="A34" sqref="A34"/>
    </sheetView>
  </sheetViews>
  <sheetFormatPr baseColWidth="10" defaultColWidth="11.453125" defaultRowHeight="14.5" x14ac:dyDescent="0.35"/>
  <cols>
    <col min="1" max="1" width="87.26953125" customWidth="1"/>
    <col min="2" max="2" width="35.1796875" customWidth="1"/>
    <col min="3" max="3" width="50.54296875" style="544" customWidth="1"/>
    <col min="4" max="4" width="30.7265625" style="482" bestFit="1" customWidth="1"/>
    <col min="5" max="5" width="21.81640625" style="1" customWidth="1"/>
    <col min="6" max="6" width="24.7265625" customWidth="1"/>
  </cols>
  <sheetData>
    <row r="1" spans="1:5" ht="23.25" customHeight="1" x14ac:dyDescent="0.35">
      <c r="A1" s="768" t="s">
        <v>532</v>
      </c>
      <c r="B1" s="768"/>
      <c r="C1" s="768"/>
      <c r="D1" s="768"/>
      <c r="E1" s="768"/>
    </row>
    <row r="2" spans="1:5" x14ac:dyDescent="0.35">
      <c r="A2" s="187"/>
      <c r="B2" s="179"/>
      <c r="C2" s="527"/>
      <c r="D2" s="455"/>
      <c r="E2" s="416"/>
    </row>
    <row r="3" spans="1:5" x14ac:dyDescent="0.35">
      <c r="A3" s="179"/>
      <c r="B3" s="179"/>
      <c r="C3" s="527"/>
      <c r="D3" s="455"/>
      <c r="E3" s="416"/>
    </row>
    <row r="4" spans="1:5" ht="18.5" x14ac:dyDescent="0.45">
      <c r="A4" s="180" t="s">
        <v>533</v>
      </c>
      <c r="B4" s="179"/>
      <c r="C4" s="527"/>
      <c r="D4" s="455"/>
      <c r="E4" s="416"/>
    </row>
    <row r="5" spans="1:5" ht="15.5" x14ac:dyDescent="0.35">
      <c r="A5" s="188" t="s">
        <v>534</v>
      </c>
      <c r="B5" s="179"/>
      <c r="C5" s="528">
        <v>1428.317524</v>
      </c>
      <c r="D5" s="455"/>
      <c r="E5" s="416"/>
    </row>
    <row r="6" spans="1:5" ht="15.5" x14ac:dyDescent="0.35">
      <c r="A6" s="189" t="s">
        <v>535</v>
      </c>
      <c r="B6" s="179"/>
      <c r="C6" s="529"/>
      <c r="D6" s="455"/>
      <c r="E6" s="416"/>
    </row>
    <row r="7" spans="1:5" ht="15.5" x14ac:dyDescent="0.35">
      <c r="A7" s="190" t="s">
        <v>29</v>
      </c>
      <c r="B7" s="179"/>
      <c r="C7" s="529">
        <v>635.65200000000004</v>
      </c>
      <c r="D7" s="455"/>
      <c r="E7" s="416"/>
    </row>
    <row r="8" spans="1:5" ht="15.5" x14ac:dyDescent="0.35">
      <c r="A8" s="190" t="s">
        <v>10</v>
      </c>
      <c r="B8" s="179"/>
      <c r="C8" s="529">
        <v>650.42499999999995</v>
      </c>
      <c r="D8" s="455"/>
      <c r="E8" s="416"/>
    </row>
    <row r="9" spans="1:5" ht="15.5" x14ac:dyDescent="0.35">
      <c r="A9" s="190" t="s">
        <v>536</v>
      </c>
      <c r="B9" s="179"/>
      <c r="C9" s="529">
        <v>48.276485999999998</v>
      </c>
      <c r="D9" s="455"/>
      <c r="E9" s="416"/>
    </row>
    <row r="10" spans="1:5" ht="17.5" x14ac:dyDescent="0.35">
      <c r="A10" s="190" t="s">
        <v>537</v>
      </c>
      <c r="B10" s="179"/>
      <c r="C10" s="529">
        <v>14.263999999999999</v>
      </c>
      <c r="D10" s="455"/>
      <c r="E10" s="416"/>
    </row>
    <row r="11" spans="1:5" ht="15.5" x14ac:dyDescent="0.35">
      <c r="A11" s="190" t="s">
        <v>538</v>
      </c>
      <c r="B11" s="179"/>
      <c r="C11" s="529">
        <v>79.7</v>
      </c>
      <c r="D11" s="455"/>
      <c r="E11" s="416"/>
    </row>
    <row r="12" spans="1:5" ht="15.5" x14ac:dyDescent="0.35">
      <c r="A12" s="191"/>
      <c r="B12" s="179"/>
      <c r="C12" s="529"/>
      <c r="D12" s="455"/>
      <c r="E12" s="416"/>
    </row>
    <row r="13" spans="1:5" ht="15.5" x14ac:dyDescent="0.35">
      <c r="A13" s="189" t="s">
        <v>539</v>
      </c>
      <c r="B13" s="179"/>
      <c r="C13" s="529"/>
      <c r="D13" s="455"/>
      <c r="E13" s="416"/>
    </row>
    <row r="14" spans="1:5" ht="15.5" x14ac:dyDescent="0.35">
      <c r="A14" s="190" t="s">
        <v>29</v>
      </c>
      <c r="B14" s="179"/>
      <c r="C14" s="529">
        <v>44.503549999999997</v>
      </c>
      <c r="D14" s="455"/>
      <c r="E14" s="416"/>
    </row>
    <row r="15" spans="1:5" ht="15.5" x14ac:dyDescent="0.35">
      <c r="A15" s="190" t="s">
        <v>10</v>
      </c>
      <c r="B15" s="179"/>
      <c r="C15" s="529">
        <v>45.537844</v>
      </c>
      <c r="D15" s="455"/>
      <c r="E15" s="416"/>
    </row>
    <row r="16" spans="1:5" ht="15.5" x14ac:dyDescent="0.35">
      <c r="A16" s="190" t="s">
        <v>536</v>
      </c>
      <c r="B16" s="179"/>
      <c r="C16" s="529">
        <v>3.3799549999999998</v>
      </c>
      <c r="D16" s="455"/>
      <c r="E16" s="416"/>
    </row>
    <row r="17" spans="1:5" ht="17.5" x14ac:dyDescent="0.35">
      <c r="A17" s="190" t="s">
        <v>537</v>
      </c>
      <c r="B17" s="179"/>
      <c r="C17" s="529">
        <v>0.99865700000000002</v>
      </c>
      <c r="D17" s="455"/>
      <c r="E17" s="416"/>
    </row>
    <row r="18" spans="1:5" ht="15.5" x14ac:dyDescent="0.35">
      <c r="A18" s="190" t="s">
        <v>538</v>
      </c>
      <c r="B18" s="179"/>
      <c r="C18" s="529">
        <v>5.5799919999999998</v>
      </c>
      <c r="D18" s="455"/>
      <c r="E18" s="416"/>
    </row>
    <row r="19" spans="1:5" ht="15.5" x14ac:dyDescent="0.35">
      <c r="A19" s="191"/>
      <c r="B19" s="179"/>
      <c r="C19" s="529"/>
      <c r="D19" s="455"/>
      <c r="E19" s="416"/>
    </row>
    <row r="20" spans="1:5" ht="15.5" x14ac:dyDescent="0.35">
      <c r="A20" s="192" t="s">
        <v>540</v>
      </c>
      <c r="B20" s="179"/>
      <c r="C20" s="529"/>
      <c r="D20" s="455"/>
      <c r="E20" s="416"/>
    </row>
    <row r="21" spans="1:5" ht="17.5" x14ac:dyDescent="0.35">
      <c r="A21" s="193" t="s">
        <v>541</v>
      </c>
      <c r="B21" s="179"/>
      <c r="C21" s="529">
        <v>2189.877</v>
      </c>
      <c r="D21" s="455"/>
      <c r="E21" s="416"/>
    </row>
    <row r="22" spans="1:5" ht="15.5" x14ac:dyDescent="0.35">
      <c r="A22" s="193" t="s">
        <v>542</v>
      </c>
      <c r="B22" s="179"/>
      <c r="C22" s="529">
        <v>14925.141</v>
      </c>
      <c r="D22" s="455"/>
      <c r="E22" s="416"/>
    </row>
    <row r="23" spans="1:5" ht="15.5" x14ac:dyDescent="0.35">
      <c r="A23" s="191"/>
      <c r="B23" s="179"/>
      <c r="C23" s="529"/>
      <c r="D23" s="455"/>
      <c r="E23" s="416"/>
    </row>
    <row r="24" spans="1:5" ht="17.5" x14ac:dyDescent="0.35">
      <c r="A24" s="192" t="s">
        <v>543</v>
      </c>
      <c r="B24" s="179"/>
      <c r="C24" s="528">
        <v>0.65223600000000004</v>
      </c>
      <c r="D24" s="455"/>
      <c r="E24" s="416"/>
    </row>
    <row r="25" spans="1:5" ht="15.5" x14ac:dyDescent="0.35">
      <c r="A25" s="192" t="s">
        <v>544</v>
      </c>
      <c r="B25" s="179"/>
      <c r="C25" s="528">
        <v>95.698762000000002</v>
      </c>
      <c r="D25" s="455"/>
      <c r="E25" s="416"/>
    </row>
    <row r="26" spans="1:5" x14ac:dyDescent="0.35">
      <c r="A26" s="179"/>
      <c r="B26" s="179"/>
      <c r="C26" s="529"/>
      <c r="D26" s="455"/>
      <c r="E26" s="416"/>
    </row>
    <row r="27" spans="1:5" ht="18.5" x14ac:dyDescent="0.45">
      <c r="A27" s="181" t="s">
        <v>857</v>
      </c>
      <c r="B27" s="179"/>
      <c r="C27" s="529"/>
      <c r="D27" s="455"/>
      <c r="E27" s="416"/>
    </row>
    <row r="28" spans="1:5" ht="60" customHeight="1" x14ac:dyDescent="0.35">
      <c r="A28" s="769" t="s">
        <v>853</v>
      </c>
      <c r="B28" s="769"/>
      <c r="C28" s="769"/>
      <c r="D28" s="769"/>
      <c r="E28" s="769"/>
    </row>
    <row r="29" spans="1:5" ht="45" customHeight="1" x14ac:dyDescent="0.35">
      <c r="A29" s="769" t="s">
        <v>854</v>
      </c>
      <c r="B29" s="769"/>
      <c r="C29" s="769"/>
      <c r="D29" s="769"/>
      <c r="E29" s="769"/>
    </row>
    <row r="30" spans="1:5" ht="84.75" customHeight="1" x14ac:dyDescent="0.35">
      <c r="A30" s="201" t="s">
        <v>545</v>
      </c>
      <c r="B30" s="770" t="s">
        <v>858</v>
      </c>
      <c r="C30" s="770"/>
      <c r="D30" s="770"/>
      <c r="E30" s="770"/>
    </row>
    <row r="31" spans="1:5" ht="91.5" customHeight="1" x14ac:dyDescent="0.35">
      <c r="A31" s="201" t="s">
        <v>910</v>
      </c>
      <c r="B31" s="202" t="s">
        <v>546</v>
      </c>
      <c r="C31" s="204" t="s">
        <v>547</v>
      </c>
      <c r="D31" s="383" t="s">
        <v>855</v>
      </c>
      <c r="E31" s="204" t="s">
        <v>856</v>
      </c>
    </row>
    <row r="32" spans="1:5" ht="45" customHeight="1" x14ac:dyDescent="0.35">
      <c r="A32" s="201"/>
      <c r="B32" s="203" t="s">
        <v>29</v>
      </c>
      <c r="C32" s="530">
        <v>44.503549999999997</v>
      </c>
      <c r="D32" s="383">
        <f>((C32/(C32+C34+C35+C36))*C33)+C32</f>
        <v>81.714632715277844</v>
      </c>
      <c r="E32" s="204"/>
    </row>
    <row r="33" spans="1:5" ht="45" customHeight="1" x14ac:dyDescent="0.35">
      <c r="A33" s="201"/>
      <c r="B33" s="203" t="s">
        <v>10</v>
      </c>
      <c r="C33" s="530">
        <v>45.537844</v>
      </c>
      <c r="D33" s="383" t="s">
        <v>548</v>
      </c>
      <c r="E33" s="204"/>
    </row>
    <row r="34" spans="1:5" ht="45" customHeight="1" x14ac:dyDescent="0.35">
      <c r="A34" s="200"/>
      <c r="B34" s="203" t="s">
        <v>536</v>
      </c>
      <c r="C34" s="530">
        <v>3.3799549999999998</v>
      </c>
      <c r="D34" s="383">
        <f>((C34/(C32+C34+C35+C36)*C33)+C34)</f>
        <v>6.2060617955009638</v>
      </c>
      <c r="E34" s="204"/>
    </row>
    <row r="35" spans="1:5" ht="45" customHeight="1" x14ac:dyDescent="0.35">
      <c r="A35" s="200"/>
      <c r="B35" s="203" t="s">
        <v>549</v>
      </c>
      <c r="C35" s="530">
        <v>0.99865700000000002</v>
      </c>
      <c r="D35" s="383">
        <f>((C35/(C32+C34+C35+C36)*C33)+C35)</f>
        <v>1.8336714703330683</v>
      </c>
      <c r="E35" s="204"/>
    </row>
    <row r="36" spans="1:5" ht="45" customHeight="1" x14ac:dyDescent="0.35">
      <c r="A36" s="200"/>
      <c r="B36" s="203" t="s">
        <v>538</v>
      </c>
      <c r="C36" s="530">
        <v>5.5799919999999998</v>
      </c>
      <c r="D36" s="383">
        <f>((C36/(C32+C34+C35+C36))*C33)+C36</f>
        <v>10.245632018888125</v>
      </c>
      <c r="E36" s="204"/>
    </row>
    <row r="37" spans="1:5" x14ac:dyDescent="0.35">
      <c r="A37" s="199"/>
      <c r="B37" s="771" t="s">
        <v>550</v>
      </c>
      <c r="C37" s="771"/>
      <c r="D37" s="771"/>
      <c r="E37" s="204">
        <f>(100*E32)/D32</f>
        <v>0</v>
      </c>
    </row>
    <row r="38" spans="1:5" x14ac:dyDescent="0.35">
      <c r="A38" s="179"/>
      <c r="B38" s="179"/>
      <c r="C38" s="529"/>
      <c r="D38" s="455"/>
      <c r="E38" s="416"/>
    </row>
    <row r="39" spans="1:5" ht="18.5" x14ac:dyDescent="0.45">
      <c r="A39" s="181" t="s">
        <v>859</v>
      </c>
      <c r="B39" s="179"/>
      <c r="C39" s="527"/>
      <c r="D39" s="455"/>
      <c r="E39" s="416"/>
    </row>
    <row r="40" spans="1:5" x14ac:dyDescent="0.35">
      <c r="A40" s="179"/>
      <c r="B40" s="179"/>
      <c r="C40" s="527"/>
      <c r="D40" s="455"/>
      <c r="E40" s="416"/>
    </row>
    <row r="41" spans="1:5" x14ac:dyDescent="0.35">
      <c r="A41" s="179" t="s">
        <v>551</v>
      </c>
      <c r="B41" s="179"/>
      <c r="C41" s="527"/>
      <c r="D41" s="455"/>
      <c r="E41" s="416"/>
    </row>
    <row r="42" spans="1:5" x14ac:dyDescent="0.35">
      <c r="A42" s="179"/>
      <c r="B42" s="179"/>
      <c r="C42" s="527"/>
      <c r="D42" s="455"/>
      <c r="E42" s="416"/>
    </row>
    <row r="43" spans="1:5" x14ac:dyDescent="0.35">
      <c r="A43" s="179"/>
      <c r="B43" s="179"/>
      <c r="C43" s="527"/>
      <c r="D43" s="455"/>
      <c r="E43" s="416"/>
    </row>
    <row r="44" spans="1:5" x14ac:dyDescent="0.35">
      <c r="A44" s="772" t="s">
        <v>860</v>
      </c>
      <c r="B44" s="206" t="s">
        <v>546</v>
      </c>
      <c r="C44" s="531" t="s">
        <v>552</v>
      </c>
      <c r="D44" s="384" t="s">
        <v>553</v>
      </c>
      <c r="E44" s="204" t="s">
        <v>554</v>
      </c>
    </row>
    <row r="45" spans="1:5" x14ac:dyDescent="0.35">
      <c r="A45" s="772"/>
      <c r="B45" s="206" t="s">
        <v>12</v>
      </c>
      <c r="C45" s="532">
        <f>E34</f>
        <v>0</v>
      </c>
      <c r="D45" s="385"/>
      <c r="E45" s="204">
        <f>(E34*1000)/0.00003672</f>
        <v>0</v>
      </c>
    </row>
    <row r="46" spans="1:5" x14ac:dyDescent="0.35">
      <c r="A46" s="772"/>
      <c r="B46" s="206" t="s">
        <v>36</v>
      </c>
      <c r="C46" s="532">
        <f>E35</f>
        <v>0</v>
      </c>
      <c r="D46" s="385"/>
      <c r="E46" s="204">
        <f>(E35*1000)/0.00002553</f>
        <v>0</v>
      </c>
    </row>
    <row r="47" spans="1:5" x14ac:dyDescent="0.35">
      <c r="A47" s="772"/>
      <c r="B47" s="206" t="s">
        <v>538</v>
      </c>
      <c r="C47" s="532">
        <f>E36</f>
        <v>0</v>
      </c>
      <c r="D47" s="384">
        <f>(2771850000*E36)/52</f>
        <v>0</v>
      </c>
      <c r="E47" s="417"/>
    </row>
    <row r="48" spans="1:5" x14ac:dyDescent="0.35">
      <c r="A48" s="772"/>
      <c r="B48" s="179"/>
      <c r="C48" s="527"/>
      <c r="D48" s="455"/>
      <c r="E48" s="416"/>
    </row>
    <row r="49" spans="1:5" x14ac:dyDescent="0.35">
      <c r="A49" s="772"/>
      <c r="B49" s="179"/>
      <c r="C49" s="527"/>
      <c r="D49" s="455"/>
      <c r="E49" s="416"/>
    </row>
    <row r="50" spans="1:5" x14ac:dyDescent="0.35">
      <c r="A50" s="179"/>
      <c r="B50" s="179"/>
      <c r="C50" s="527"/>
      <c r="D50" s="455"/>
      <c r="E50" s="416"/>
    </row>
    <row r="51" spans="1:5" x14ac:dyDescent="0.35">
      <c r="A51" s="772" t="s">
        <v>861</v>
      </c>
      <c r="B51" s="772"/>
      <c r="C51" s="772"/>
      <c r="D51" s="772"/>
      <c r="E51" s="772"/>
    </row>
    <row r="52" spans="1:5" x14ac:dyDescent="0.35">
      <c r="A52" s="772"/>
      <c r="B52" s="772"/>
      <c r="C52" s="772"/>
      <c r="D52" s="772"/>
      <c r="E52" s="772"/>
    </row>
    <row r="53" spans="1:5" x14ac:dyDescent="0.35">
      <c r="A53" s="772"/>
      <c r="B53" s="772"/>
      <c r="C53" s="772"/>
      <c r="D53" s="772"/>
      <c r="E53" s="772"/>
    </row>
    <row r="54" spans="1:5" x14ac:dyDescent="0.35">
      <c r="A54" s="772"/>
      <c r="B54" s="772"/>
      <c r="C54" s="772"/>
      <c r="D54" s="772"/>
      <c r="E54" s="772"/>
    </row>
    <row r="55" spans="1:5" x14ac:dyDescent="0.35">
      <c r="A55" s="772"/>
      <c r="B55" s="772"/>
      <c r="C55" s="772"/>
      <c r="D55" s="772"/>
      <c r="E55" s="772"/>
    </row>
    <row r="56" spans="1:5" x14ac:dyDescent="0.35">
      <c r="A56" s="179"/>
      <c r="B56" s="179"/>
      <c r="C56" s="527"/>
      <c r="D56" s="455"/>
      <c r="E56" s="416"/>
    </row>
    <row r="57" spans="1:5" x14ac:dyDescent="0.35">
      <c r="A57" s="772" t="s">
        <v>862</v>
      </c>
      <c r="B57" s="772"/>
      <c r="C57" s="772"/>
      <c r="D57" s="772"/>
      <c r="E57" s="772"/>
    </row>
    <row r="58" spans="1:5" x14ac:dyDescent="0.35">
      <c r="A58" s="772"/>
      <c r="B58" s="772"/>
      <c r="C58" s="772"/>
      <c r="D58" s="772"/>
      <c r="E58" s="772"/>
    </row>
    <row r="59" spans="1:5" x14ac:dyDescent="0.35">
      <c r="A59" s="772"/>
      <c r="B59" s="772"/>
      <c r="C59" s="772"/>
      <c r="D59" s="772"/>
      <c r="E59" s="772"/>
    </row>
    <row r="60" spans="1:5" x14ac:dyDescent="0.35">
      <c r="A60" s="772"/>
      <c r="B60" s="772"/>
      <c r="C60" s="772"/>
      <c r="D60" s="772"/>
      <c r="E60" s="772"/>
    </row>
    <row r="61" spans="1:5" x14ac:dyDescent="0.35">
      <c r="A61" s="248"/>
      <c r="B61" s="248"/>
      <c r="C61" s="416"/>
      <c r="D61" s="455"/>
      <c r="E61" s="416"/>
    </row>
    <row r="62" spans="1:5" ht="21" x14ac:dyDescent="0.5">
      <c r="A62" s="270" t="s">
        <v>555</v>
      </c>
      <c r="B62" s="248"/>
      <c r="C62" s="416"/>
      <c r="D62" s="455"/>
      <c r="E62" s="416"/>
    </row>
    <row r="63" spans="1:5" x14ac:dyDescent="0.35">
      <c r="A63" s="248"/>
      <c r="B63" s="248"/>
      <c r="C63" s="416"/>
      <c r="D63" s="455"/>
      <c r="E63" s="416"/>
    </row>
    <row r="64" spans="1:5" ht="29" x14ac:dyDescent="0.35">
      <c r="A64" s="247" t="s">
        <v>556</v>
      </c>
      <c r="B64" s="248"/>
      <c r="C64" s="416"/>
      <c r="D64" s="455"/>
      <c r="E64" s="416"/>
    </row>
    <row r="65" spans="1:5" x14ac:dyDescent="0.35">
      <c r="A65" s="248" t="s">
        <v>557</v>
      </c>
      <c r="B65" s="248"/>
      <c r="C65" s="416"/>
      <c r="D65" s="455"/>
      <c r="E65" s="416"/>
    </row>
    <row r="66" spans="1:5" ht="43.5" x14ac:dyDescent="0.35">
      <c r="A66" s="247" t="s">
        <v>558</v>
      </c>
      <c r="B66" s="248"/>
      <c r="C66" s="416"/>
      <c r="D66" s="455"/>
      <c r="E66" s="416"/>
    </row>
    <row r="67" spans="1:5" ht="58" x14ac:dyDescent="0.35">
      <c r="A67" s="247" t="s">
        <v>877</v>
      </c>
      <c r="B67" s="248"/>
      <c r="C67" s="416"/>
      <c r="D67" s="455"/>
      <c r="E67" s="416"/>
    </row>
    <row r="68" spans="1:5" ht="72.5" x14ac:dyDescent="0.35">
      <c r="A68" s="247" t="s">
        <v>559</v>
      </c>
      <c r="B68" s="248"/>
      <c r="C68" s="416"/>
      <c r="D68" s="455"/>
      <c r="E68" s="416"/>
    </row>
    <row r="69" spans="1:5" x14ac:dyDescent="0.35">
      <c r="A69" s="248"/>
      <c r="B69" s="248"/>
      <c r="C69" s="416"/>
      <c r="D69" s="455"/>
      <c r="E69" s="416"/>
    </row>
    <row r="70" spans="1:5" x14ac:dyDescent="0.35">
      <c r="A70" s="248"/>
      <c r="B70" s="248"/>
      <c r="C70" s="416"/>
      <c r="D70" s="455"/>
      <c r="E70" s="416"/>
    </row>
    <row r="71" spans="1:5" x14ac:dyDescent="0.35">
      <c r="A71" s="248"/>
      <c r="B71" s="248"/>
      <c r="C71" s="416"/>
      <c r="D71" s="455"/>
      <c r="E71" s="416"/>
    </row>
    <row r="72" spans="1:5" x14ac:dyDescent="0.35">
      <c r="A72" s="248"/>
      <c r="B72" s="248"/>
      <c r="C72" s="416"/>
      <c r="D72" s="455"/>
      <c r="E72" s="416"/>
    </row>
    <row r="73" spans="1:5" x14ac:dyDescent="0.35">
      <c r="A73" s="248"/>
      <c r="B73" s="248"/>
      <c r="C73" s="416"/>
      <c r="D73" s="455"/>
      <c r="E73" s="416"/>
    </row>
    <row r="74" spans="1:5" x14ac:dyDescent="0.35">
      <c r="A74" s="248"/>
      <c r="B74" s="248"/>
      <c r="C74" s="416"/>
      <c r="D74" s="455"/>
      <c r="E74" s="416"/>
    </row>
    <row r="75" spans="1:5" x14ac:dyDescent="0.35">
      <c r="A75" s="248"/>
      <c r="B75" s="248"/>
      <c r="C75" s="416"/>
      <c r="D75" s="455"/>
      <c r="E75" s="416"/>
    </row>
    <row r="76" spans="1:5" x14ac:dyDescent="0.35">
      <c r="A76" s="248"/>
      <c r="B76" s="248"/>
      <c r="C76" s="416"/>
      <c r="D76" s="455"/>
      <c r="E76" s="416"/>
    </row>
    <row r="77" spans="1:5" ht="59.25" customHeight="1" x14ac:dyDescent="0.35">
      <c r="A77" s="767" t="s">
        <v>560</v>
      </c>
      <c r="B77" s="767"/>
      <c r="C77" s="767"/>
      <c r="D77" s="767"/>
      <c r="E77" s="767"/>
    </row>
    <row r="78" spans="1:5" ht="15.5" x14ac:dyDescent="0.35">
      <c r="A78" s="186" t="s">
        <v>561</v>
      </c>
      <c r="B78" s="173"/>
      <c r="C78" s="533"/>
      <c r="D78" s="456"/>
      <c r="E78" s="418"/>
    </row>
    <row r="79" spans="1:5" ht="15.5" x14ac:dyDescent="0.35">
      <c r="A79" s="173"/>
      <c r="B79" s="173"/>
      <c r="C79" s="533"/>
      <c r="D79" s="456"/>
      <c r="E79" s="418"/>
    </row>
    <row r="80" spans="1:5" ht="18.5" x14ac:dyDescent="0.45">
      <c r="A80" s="172" t="s">
        <v>533</v>
      </c>
      <c r="B80" s="173"/>
      <c r="C80" s="533"/>
      <c r="D80" s="456"/>
      <c r="E80" s="418"/>
    </row>
    <row r="81" spans="1:5" ht="18.5" x14ac:dyDescent="0.45">
      <c r="A81" s="172"/>
      <c r="B81" s="173"/>
      <c r="C81" s="533"/>
      <c r="D81" s="456"/>
      <c r="E81" s="418"/>
    </row>
    <row r="82" spans="1:5" ht="18.5" x14ac:dyDescent="0.45">
      <c r="A82" s="172"/>
      <c r="B82" s="173"/>
      <c r="C82" s="533"/>
      <c r="D82" s="456"/>
      <c r="E82" s="418"/>
    </row>
    <row r="83" spans="1:5" ht="15.5" x14ac:dyDescent="0.35">
      <c r="A83" s="174" t="s">
        <v>562</v>
      </c>
      <c r="B83" s="207">
        <v>214.58781888686099</v>
      </c>
      <c r="C83" s="533"/>
      <c r="D83" s="456"/>
      <c r="E83" s="418"/>
    </row>
    <row r="84" spans="1:5" ht="15.5" x14ac:dyDescent="0.35">
      <c r="A84" s="175" t="s">
        <v>535</v>
      </c>
      <c r="B84" s="194"/>
      <c r="C84" s="533"/>
      <c r="D84" s="456"/>
      <c r="E84" s="418"/>
    </row>
    <row r="85" spans="1:5" ht="15.5" x14ac:dyDescent="0.35">
      <c r="A85" s="176" t="s">
        <v>29</v>
      </c>
      <c r="B85" s="198">
        <v>136.50700000000001</v>
      </c>
      <c r="C85" s="533"/>
      <c r="D85" s="456"/>
      <c r="E85" s="418"/>
    </row>
    <row r="86" spans="1:5" ht="15.5" x14ac:dyDescent="0.35">
      <c r="A86" s="176" t="s">
        <v>10</v>
      </c>
      <c r="B86" s="198">
        <v>62.643000000000001</v>
      </c>
      <c r="C86" s="533"/>
      <c r="D86" s="456"/>
      <c r="E86" s="418"/>
    </row>
    <row r="87" spans="1:5" ht="15.5" x14ac:dyDescent="0.35">
      <c r="A87" s="176" t="s">
        <v>563</v>
      </c>
      <c r="B87" s="198">
        <v>9.0498188868613099</v>
      </c>
      <c r="C87" s="533"/>
      <c r="D87" s="456"/>
      <c r="E87" s="418"/>
    </row>
    <row r="88" spans="1:5" ht="15.5" x14ac:dyDescent="0.35">
      <c r="A88" s="176" t="s">
        <v>564</v>
      </c>
      <c r="B88" s="198">
        <v>0.193</v>
      </c>
      <c r="C88" s="533"/>
      <c r="D88" s="456"/>
      <c r="E88" s="418"/>
    </row>
    <row r="89" spans="1:5" ht="15.5" x14ac:dyDescent="0.35">
      <c r="A89" s="176" t="s">
        <v>565</v>
      </c>
      <c r="B89" s="198">
        <v>0</v>
      </c>
      <c r="C89" s="533"/>
      <c r="D89" s="456"/>
      <c r="E89" s="418"/>
    </row>
    <row r="90" spans="1:5" ht="17.5" x14ac:dyDescent="0.35">
      <c r="A90" s="176" t="s">
        <v>566</v>
      </c>
      <c r="B90" s="198">
        <v>6.1950000000000003</v>
      </c>
      <c r="C90" s="533"/>
      <c r="D90" s="456"/>
      <c r="E90" s="418"/>
    </row>
    <row r="91" spans="1:5" ht="15.5" x14ac:dyDescent="0.35">
      <c r="A91" s="175" t="s">
        <v>539</v>
      </c>
      <c r="B91" s="195"/>
      <c r="C91" s="534"/>
      <c r="D91" s="457"/>
      <c r="E91" s="419"/>
    </row>
    <row r="92" spans="1:5" ht="15.5" x14ac:dyDescent="0.35">
      <c r="A92" s="176" t="s">
        <v>29</v>
      </c>
      <c r="B92" s="198">
        <v>63.6</v>
      </c>
      <c r="C92" s="534"/>
      <c r="D92" s="457"/>
      <c r="E92" s="419"/>
    </row>
    <row r="93" spans="1:5" ht="15.5" x14ac:dyDescent="0.35">
      <c r="A93" s="176" t="s">
        <v>10</v>
      </c>
      <c r="B93" s="198">
        <v>29.2</v>
      </c>
      <c r="C93" s="534"/>
      <c r="D93" s="457"/>
      <c r="E93" s="419"/>
    </row>
    <row r="94" spans="1:5" ht="15.5" x14ac:dyDescent="0.35">
      <c r="A94" s="176" t="s">
        <v>563</v>
      </c>
      <c r="B94" s="198">
        <v>4.2</v>
      </c>
      <c r="C94" s="534"/>
      <c r="D94" s="457"/>
      <c r="E94" s="419"/>
    </row>
    <row r="95" spans="1:5" ht="15.5" x14ac:dyDescent="0.35">
      <c r="A95" s="176" t="s">
        <v>564</v>
      </c>
      <c r="B95" s="198">
        <v>0.1</v>
      </c>
      <c r="C95" s="534"/>
      <c r="D95" s="457"/>
      <c r="E95" s="419"/>
    </row>
    <row r="96" spans="1:5" ht="15.5" x14ac:dyDescent="0.35">
      <c r="A96" s="176" t="s">
        <v>565</v>
      </c>
      <c r="B96" s="198">
        <v>0</v>
      </c>
      <c r="C96" s="534"/>
      <c r="D96" s="457"/>
      <c r="E96" s="419"/>
    </row>
    <row r="97" spans="1:6" ht="17.5" x14ac:dyDescent="0.35">
      <c r="A97" s="176" t="s">
        <v>566</v>
      </c>
      <c r="B97" s="198">
        <v>2.9</v>
      </c>
      <c r="C97" s="534"/>
      <c r="D97" s="457"/>
      <c r="E97" s="419"/>
    </row>
    <row r="98" spans="1:6" ht="15.5" x14ac:dyDescent="0.35">
      <c r="A98" s="174" t="s">
        <v>540</v>
      </c>
      <c r="B98" s="195"/>
      <c r="C98" s="534"/>
      <c r="D98" s="457"/>
      <c r="E98" s="419"/>
    </row>
    <row r="99" spans="1:6" ht="17.5" x14ac:dyDescent="0.35">
      <c r="A99" s="176" t="s">
        <v>567</v>
      </c>
      <c r="B99" s="198">
        <v>146.4</v>
      </c>
      <c r="C99" s="534"/>
      <c r="D99" s="457"/>
      <c r="E99" s="419"/>
    </row>
    <row r="100" spans="1:6" ht="15.5" x14ac:dyDescent="0.35">
      <c r="A100" s="177"/>
      <c r="B100" s="177"/>
      <c r="C100" s="534"/>
      <c r="D100" s="457"/>
      <c r="E100" s="419"/>
    </row>
    <row r="101" spans="1:6" ht="18.5" x14ac:dyDescent="0.45">
      <c r="A101" s="178" t="s">
        <v>863</v>
      </c>
      <c r="B101" s="177"/>
      <c r="C101" s="534"/>
      <c r="D101" s="457"/>
      <c r="E101" s="419"/>
    </row>
    <row r="102" spans="1:6" ht="116.25" customHeight="1" x14ac:dyDescent="0.35">
      <c r="A102" s="766" t="s">
        <v>864</v>
      </c>
      <c r="B102" s="766"/>
      <c r="C102" s="766"/>
      <c r="D102" s="766"/>
      <c r="E102" s="766"/>
    </row>
    <row r="103" spans="1:6" ht="18" customHeight="1" x14ac:dyDescent="0.35">
      <c r="A103" s="755"/>
      <c r="B103" s="756"/>
      <c r="C103" s="756"/>
      <c r="D103" s="756"/>
      <c r="E103" s="756"/>
    </row>
    <row r="104" spans="1:6" ht="43.5" customHeight="1" x14ac:dyDescent="0.35">
      <c r="A104" s="756"/>
      <c r="B104" s="756"/>
      <c r="C104" s="756"/>
      <c r="D104" s="756"/>
      <c r="E104" s="756"/>
    </row>
    <row r="105" spans="1:6" ht="15" customHeight="1" x14ac:dyDescent="0.35">
      <c r="A105" s="762"/>
      <c r="B105" s="762"/>
      <c r="C105" s="762"/>
      <c r="D105" s="762"/>
      <c r="E105" s="762"/>
    </row>
    <row r="106" spans="1:6" ht="15" customHeight="1" x14ac:dyDescent="0.35">
      <c r="A106" s="762"/>
      <c r="B106" s="762"/>
      <c r="C106" s="762"/>
      <c r="D106" s="762"/>
      <c r="E106" s="762"/>
    </row>
    <row r="107" spans="1:6" ht="57.75" customHeight="1" x14ac:dyDescent="0.35">
      <c r="A107" s="212" t="s">
        <v>865</v>
      </c>
      <c r="B107" s="760" t="s">
        <v>866</v>
      </c>
      <c r="C107" s="760"/>
      <c r="D107" s="760"/>
      <c r="E107" s="760"/>
    </row>
    <row r="108" spans="1:6" ht="72.5" x14ac:dyDescent="0.35">
      <c r="A108" s="212" t="s">
        <v>867</v>
      </c>
      <c r="B108" s="208" t="s">
        <v>546</v>
      </c>
      <c r="C108" s="211" t="s">
        <v>547</v>
      </c>
      <c r="D108" s="458" t="s">
        <v>855</v>
      </c>
      <c r="E108" s="211" t="s">
        <v>856</v>
      </c>
    </row>
    <row r="109" spans="1:6" ht="15.5" x14ac:dyDescent="0.35">
      <c r="A109" s="757" t="s">
        <v>868</v>
      </c>
      <c r="B109" s="209" t="s">
        <v>29</v>
      </c>
      <c r="C109" s="535">
        <v>63.6</v>
      </c>
      <c r="D109" s="763">
        <f>C109+C110</f>
        <v>92.8</v>
      </c>
      <c r="E109" s="211"/>
    </row>
    <row r="110" spans="1:6" ht="15.5" x14ac:dyDescent="0.35">
      <c r="A110" s="757"/>
      <c r="B110" s="209" t="s">
        <v>10</v>
      </c>
      <c r="C110" s="535">
        <v>29.2</v>
      </c>
      <c r="D110" s="763"/>
      <c r="E110" s="211"/>
    </row>
    <row r="111" spans="1:6" ht="15.5" x14ac:dyDescent="0.35">
      <c r="A111" s="757" t="s">
        <v>869</v>
      </c>
      <c r="B111" s="209" t="s">
        <v>568</v>
      </c>
      <c r="C111" s="535">
        <v>4.2</v>
      </c>
      <c r="D111" s="210">
        <f>C111</f>
        <v>4.2</v>
      </c>
      <c r="E111" s="211"/>
      <c r="F111" s="2"/>
    </row>
    <row r="112" spans="1:6" ht="18.75" customHeight="1" x14ac:dyDescent="0.35">
      <c r="A112" s="757"/>
      <c r="B112" s="209" t="s">
        <v>39</v>
      </c>
      <c r="C112" s="535">
        <v>0.1</v>
      </c>
      <c r="D112" s="210">
        <f>C112</f>
        <v>0.1</v>
      </c>
      <c r="E112" s="211"/>
      <c r="F112" s="197"/>
    </row>
    <row r="113" spans="1:5" ht="18.75" customHeight="1" x14ac:dyDescent="0.35">
      <c r="A113" s="757"/>
      <c r="B113" s="209" t="s">
        <v>565</v>
      </c>
      <c r="C113" s="535">
        <v>0</v>
      </c>
      <c r="D113" s="210">
        <f>C113</f>
        <v>0</v>
      </c>
      <c r="E113" s="211"/>
    </row>
    <row r="114" spans="1:5" ht="47.25" customHeight="1" x14ac:dyDescent="0.35">
      <c r="A114" s="758" t="s">
        <v>870</v>
      </c>
      <c r="B114" s="209" t="s">
        <v>549</v>
      </c>
      <c r="C114" s="535">
        <v>2.9</v>
      </c>
      <c r="D114" s="210">
        <f>C114</f>
        <v>2.9</v>
      </c>
      <c r="E114" s="211"/>
    </row>
    <row r="115" spans="1:5" ht="18.75" customHeight="1" x14ac:dyDescent="0.35">
      <c r="A115" s="758"/>
      <c r="B115" s="761" t="s">
        <v>550</v>
      </c>
      <c r="C115" s="761"/>
      <c r="D115" s="761"/>
      <c r="E115" s="211">
        <f>(E110+E109)*100/D109</f>
        <v>0</v>
      </c>
    </row>
    <row r="116" spans="1:5" ht="37.5" customHeight="1" x14ac:dyDescent="0.35">
      <c r="A116" s="758"/>
      <c r="B116" s="177"/>
      <c r="C116" s="534"/>
      <c r="D116" s="457"/>
      <c r="E116" s="419"/>
    </row>
    <row r="117" spans="1:5" ht="18.75" customHeight="1" x14ac:dyDescent="0.35">
      <c r="A117" s="759" t="s">
        <v>569</v>
      </c>
      <c r="B117" s="759"/>
      <c r="C117" s="759"/>
      <c r="D117" s="759"/>
      <c r="E117" s="759"/>
    </row>
    <row r="118" spans="1:5" ht="18.75" customHeight="1" x14ac:dyDescent="0.35">
      <c r="A118" s="759"/>
      <c r="B118" s="759"/>
      <c r="C118" s="759"/>
      <c r="D118" s="759"/>
      <c r="E118" s="759"/>
    </row>
    <row r="119" spans="1:5" ht="18.75" customHeight="1" x14ac:dyDescent="0.35">
      <c r="A119" s="759"/>
      <c r="B119" s="759"/>
      <c r="C119" s="759"/>
      <c r="D119" s="759"/>
      <c r="E119" s="759"/>
    </row>
    <row r="120" spans="1:5" ht="18.75" customHeight="1" x14ac:dyDescent="0.35">
      <c r="A120" s="759"/>
      <c r="B120" s="759"/>
      <c r="C120" s="759"/>
      <c r="D120" s="759"/>
      <c r="E120" s="759"/>
    </row>
    <row r="121" spans="1:5" ht="15.75" customHeight="1" x14ac:dyDescent="0.45">
      <c r="A121" s="178"/>
      <c r="B121" s="177"/>
      <c r="C121" s="534"/>
      <c r="D121" s="457"/>
      <c r="E121" s="419"/>
    </row>
    <row r="122" spans="1:5" ht="18.5" x14ac:dyDescent="0.45">
      <c r="A122" s="178" t="s">
        <v>871</v>
      </c>
      <c r="B122" s="241" t="s">
        <v>546</v>
      </c>
      <c r="C122" s="210" t="s">
        <v>552</v>
      </c>
      <c r="D122" s="386" t="s">
        <v>554</v>
      </c>
      <c r="E122" s="420"/>
    </row>
    <row r="123" spans="1:5" ht="18.5" x14ac:dyDescent="0.45">
      <c r="A123" s="178"/>
      <c r="B123" s="241" t="s">
        <v>570</v>
      </c>
      <c r="C123" s="536">
        <f>E111</f>
        <v>0</v>
      </c>
      <c r="D123" s="386">
        <f>(E111*1000)/0.00003672</f>
        <v>0</v>
      </c>
      <c r="E123" s="420"/>
    </row>
    <row r="124" spans="1:5" ht="91" x14ac:dyDescent="0.35">
      <c r="A124" s="249" t="s">
        <v>872</v>
      </c>
      <c r="B124" s="241" t="s">
        <v>39</v>
      </c>
      <c r="C124" s="536">
        <f>E112</f>
        <v>0</v>
      </c>
      <c r="D124" s="386">
        <f>(C124*1000)/0.00004179</f>
        <v>0</v>
      </c>
      <c r="E124" s="420"/>
    </row>
    <row r="125" spans="1:5" x14ac:dyDescent="0.35">
      <c r="A125" s="251" t="s">
        <v>571</v>
      </c>
      <c r="B125" s="241" t="s">
        <v>11</v>
      </c>
      <c r="C125" s="536">
        <f>E114</f>
        <v>0</v>
      </c>
      <c r="D125" s="386">
        <f>(C125*1000)/0.00002553</f>
        <v>0</v>
      </c>
      <c r="E125" s="420"/>
    </row>
    <row r="126" spans="1:5" ht="84" customHeight="1" x14ac:dyDescent="0.35">
      <c r="A126" s="273" t="s">
        <v>873</v>
      </c>
      <c r="B126" s="177"/>
      <c r="C126" s="534"/>
      <c r="D126" s="457"/>
      <c r="E126" s="419"/>
    </row>
    <row r="127" spans="1:5" ht="89" x14ac:dyDescent="0.35">
      <c r="A127" s="249" t="s">
        <v>874</v>
      </c>
      <c r="B127" s="250"/>
      <c r="C127" s="420"/>
      <c r="D127" s="459"/>
      <c r="E127" s="420"/>
    </row>
    <row r="128" spans="1:5" x14ac:dyDescent="0.35">
      <c r="A128" s="250"/>
      <c r="B128" s="250"/>
      <c r="C128" s="420"/>
      <c r="D128" s="459"/>
      <c r="E128" s="420"/>
    </row>
    <row r="129" spans="1:6" ht="15" customHeight="1" x14ac:dyDescent="0.45">
      <c r="A129" s="172" t="s">
        <v>432</v>
      </c>
      <c r="B129" s="250"/>
      <c r="C129" s="420"/>
      <c r="D129" s="459"/>
      <c r="E129" s="420"/>
    </row>
    <row r="130" spans="1:6" ht="29.25" customHeight="1" x14ac:dyDescent="0.35">
      <c r="A130" s="249" t="s">
        <v>572</v>
      </c>
      <c r="B130" s="250"/>
      <c r="C130" s="420"/>
      <c r="D130" s="459"/>
      <c r="E130" s="420"/>
    </row>
    <row r="131" spans="1:6" ht="15" customHeight="1" x14ac:dyDescent="0.45">
      <c r="A131" s="172"/>
      <c r="B131" s="250"/>
      <c r="C131" s="420"/>
      <c r="D131" s="459"/>
      <c r="E131" s="420"/>
    </row>
    <row r="132" spans="1:6" ht="43.5" x14ac:dyDescent="0.35">
      <c r="A132" s="249" t="s">
        <v>573</v>
      </c>
      <c r="B132" s="250"/>
      <c r="C132" s="420"/>
      <c r="D132" s="459"/>
      <c r="E132" s="420"/>
    </row>
    <row r="133" spans="1:6" ht="13.5" customHeight="1" x14ac:dyDescent="0.45">
      <c r="A133" s="172"/>
      <c r="B133" s="250"/>
      <c r="C133" s="420"/>
      <c r="D133" s="459"/>
      <c r="E133" s="420"/>
    </row>
    <row r="134" spans="1:6" x14ac:dyDescent="0.35">
      <c r="A134" s="250"/>
      <c r="B134" s="250"/>
      <c r="C134" s="420"/>
      <c r="D134" s="459"/>
      <c r="E134" s="420"/>
    </row>
    <row r="135" spans="1:6" x14ac:dyDescent="0.35">
      <c r="A135" s="250"/>
      <c r="B135" s="250"/>
      <c r="C135" s="420"/>
      <c r="D135" s="459"/>
      <c r="E135" s="420"/>
    </row>
    <row r="136" spans="1:6" ht="23.5" x14ac:dyDescent="0.55000000000000004">
      <c r="A136" s="256" t="s">
        <v>574</v>
      </c>
      <c r="B136" s="246"/>
      <c r="C136" s="460"/>
      <c r="D136" s="461"/>
      <c r="E136" s="426" t="s">
        <v>575</v>
      </c>
      <c r="F136" s="427" t="s">
        <v>273</v>
      </c>
    </row>
    <row r="137" spans="1:6" ht="74" customHeight="1" x14ac:dyDescent="0.35">
      <c r="A137" s="257" t="s">
        <v>875</v>
      </c>
      <c r="B137" s="257"/>
      <c r="C137" s="421"/>
      <c r="D137" s="387" t="s">
        <v>576</v>
      </c>
      <c r="E137" s="253">
        <v>5629007</v>
      </c>
      <c r="F137" s="428">
        <v>100</v>
      </c>
    </row>
    <row r="138" spans="1:6" ht="80.25" customHeight="1" x14ac:dyDescent="0.45">
      <c r="A138" s="182" t="s">
        <v>577</v>
      </c>
      <c r="B138" s="183"/>
      <c r="C138" s="537"/>
      <c r="D138" s="462" t="s">
        <v>578</v>
      </c>
      <c r="E138" s="425">
        <v>5236131</v>
      </c>
      <c r="F138" s="428">
        <f>(E138/E$137)*100</f>
        <v>93.020509656498916</v>
      </c>
    </row>
    <row r="139" spans="1:6" ht="62" x14ac:dyDescent="0.35">
      <c r="A139" s="824" t="s">
        <v>580</v>
      </c>
      <c r="B139" s="183"/>
      <c r="C139" s="537"/>
      <c r="D139" s="462" t="s">
        <v>579</v>
      </c>
      <c r="E139" s="425">
        <v>166421</v>
      </c>
      <c r="F139" s="428">
        <f>(E139/E$137)*100</f>
        <v>2.9564894838467954</v>
      </c>
    </row>
    <row r="140" spans="1:6" ht="108.5" customHeight="1" x14ac:dyDescent="0.35">
      <c r="A140" s="824"/>
      <c r="B140" s="245"/>
      <c r="C140" s="463"/>
      <c r="D140" s="462" t="s">
        <v>581</v>
      </c>
      <c r="E140" s="425">
        <v>61225</v>
      </c>
      <c r="F140" s="428">
        <f>(E140/E$137)*100</f>
        <v>1.087669636935964</v>
      </c>
    </row>
    <row r="141" spans="1:6" ht="62" x14ac:dyDescent="0.35">
      <c r="A141" s="245" t="s">
        <v>876</v>
      </c>
      <c r="B141" s="245"/>
      <c r="C141" s="463"/>
      <c r="D141" s="462" t="s">
        <v>582</v>
      </c>
      <c r="E141" s="425">
        <v>165230</v>
      </c>
      <c r="F141" s="428">
        <f>(E141/E$137)*100</f>
        <v>2.935331222718323</v>
      </c>
    </row>
    <row r="142" spans="1:6" x14ac:dyDescent="0.35">
      <c r="A142" s="185"/>
      <c r="B142" s="185"/>
      <c r="C142" s="464"/>
      <c r="D142" s="465"/>
      <c r="E142" s="421"/>
      <c r="F142" s="184"/>
    </row>
    <row r="143" spans="1:6" ht="18.5" x14ac:dyDescent="0.45">
      <c r="A143" s="271" t="s">
        <v>583</v>
      </c>
      <c r="B143" s="185"/>
      <c r="C143" s="464"/>
      <c r="D143" s="465"/>
      <c r="E143" s="421"/>
      <c r="F143" s="184"/>
    </row>
    <row r="144" spans="1:6" ht="15.75" customHeight="1" x14ac:dyDescent="0.35">
      <c r="A144" s="240"/>
      <c r="B144" s="185"/>
      <c r="C144" s="464"/>
      <c r="D144" s="465"/>
      <c r="E144" s="421"/>
      <c r="F144" s="184"/>
    </row>
    <row r="145" spans="1:6" x14ac:dyDescent="0.35">
      <c r="A145" s="184" t="s">
        <v>890</v>
      </c>
      <c r="B145" s="184"/>
      <c r="C145" s="464"/>
      <c r="D145" s="466"/>
      <c r="E145" s="421"/>
      <c r="F145" s="184"/>
    </row>
    <row r="146" spans="1:6" x14ac:dyDescent="0.35">
      <c r="A146" s="184"/>
      <c r="B146" s="184"/>
      <c r="C146" s="464"/>
      <c r="D146" s="466"/>
      <c r="E146" s="421"/>
      <c r="F146" s="184"/>
    </row>
    <row r="147" spans="1:6" x14ac:dyDescent="0.35">
      <c r="A147" s="252" t="s">
        <v>584</v>
      </c>
      <c r="B147" s="253" t="s">
        <v>585</v>
      </c>
      <c r="C147" s="254" t="s">
        <v>586</v>
      </c>
      <c r="D147" s="387" t="s">
        <v>587</v>
      </c>
      <c r="E147" s="253" t="s">
        <v>588</v>
      </c>
      <c r="F147" s="184"/>
    </row>
    <row r="148" spans="1:6" x14ac:dyDescent="0.35">
      <c r="A148" s="252" t="s">
        <v>589</v>
      </c>
      <c r="B148" s="252" t="s">
        <v>590</v>
      </c>
      <c r="C148" s="254">
        <v>23378744</v>
      </c>
      <c r="D148" s="388">
        <v>163308720</v>
      </c>
      <c r="E148" s="253">
        <v>163308720</v>
      </c>
      <c r="F148" s="184"/>
    </row>
    <row r="149" spans="1:6" x14ac:dyDescent="0.35">
      <c r="A149" s="252" t="s">
        <v>589</v>
      </c>
      <c r="B149" s="252" t="s">
        <v>591</v>
      </c>
      <c r="C149" s="254"/>
      <c r="D149" s="388"/>
      <c r="E149" s="253"/>
      <c r="F149" s="184"/>
    </row>
    <row r="150" spans="1:6" x14ac:dyDescent="0.35">
      <c r="A150" s="252" t="s">
        <v>589</v>
      </c>
      <c r="B150" s="252" t="s">
        <v>592</v>
      </c>
      <c r="C150" s="254"/>
      <c r="D150" s="388"/>
      <c r="E150" s="253"/>
      <c r="F150" s="184"/>
    </row>
    <row r="151" spans="1:6" x14ac:dyDescent="0.35">
      <c r="A151" s="252" t="s">
        <v>589</v>
      </c>
      <c r="B151" s="252" t="s">
        <v>593</v>
      </c>
      <c r="C151" s="254"/>
      <c r="D151" s="388"/>
      <c r="E151" s="253"/>
      <c r="F151" s="184"/>
    </row>
    <row r="152" spans="1:6" x14ac:dyDescent="0.35">
      <c r="A152" s="252" t="s">
        <v>594</v>
      </c>
      <c r="B152" s="252" t="s">
        <v>590</v>
      </c>
      <c r="C152" s="254"/>
      <c r="D152" s="388"/>
      <c r="E152" s="253"/>
      <c r="F152" s="184"/>
    </row>
    <row r="153" spans="1:6" x14ac:dyDescent="0.35">
      <c r="A153" s="252" t="s">
        <v>594</v>
      </c>
      <c r="B153" s="252" t="s">
        <v>593</v>
      </c>
      <c r="C153" s="254"/>
      <c r="D153" s="388"/>
      <c r="E153" s="253"/>
      <c r="F153" s="184"/>
    </row>
    <row r="154" spans="1:6" x14ac:dyDescent="0.35">
      <c r="A154" s="185" t="s">
        <v>889</v>
      </c>
      <c r="B154" s="185"/>
      <c r="C154" s="464"/>
      <c r="D154" s="465"/>
      <c r="E154" s="421"/>
      <c r="F154" s="184"/>
    </row>
    <row r="155" spans="1:6" x14ac:dyDescent="0.35">
      <c r="A155" s="252" t="s">
        <v>584</v>
      </c>
      <c r="B155" s="253" t="s">
        <v>585</v>
      </c>
      <c r="C155" s="253" t="s">
        <v>586</v>
      </c>
      <c r="D155" s="387" t="s">
        <v>587</v>
      </c>
      <c r="E155" s="253" t="s">
        <v>588</v>
      </c>
      <c r="F155" s="184"/>
    </row>
    <row r="156" spans="1:6" x14ac:dyDescent="0.35">
      <c r="A156" s="255" t="s">
        <v>589</v>
      </c>
      <c r="B156" s="255" t="s">
        <v>590</v>
      </c>
      <c r="C156" s="253"/>
      <c r="D156" s="388"/>
      <c r="E156" s="253"/>
      <c r="F156" s="184"/>
    </row>
    <row r="157" spans="1:6" x14ac:dyDescent="0.35">
      <c r="A157" s="255" t="s">
        <v>589</v>
      </c>
      <c r="B157" s="255" t="s">
        <v>591</v>
      </c>
      <c r="C157" s="253"/>
      <c r="D157" s="388"/>
      <c r="E157" s="253"/>
      <c r="F157" s="184"/>
    </row>
    <row r="158" spans="1:6" x14ac:dyDescent="0.35">
      <c r="A158" s="255" t="s">
        <v>589</v>
      </c>
      <c r="B158" s="255" t="s">
        <v>592</v>
      </c>
      <c r="C158" s="253"/>
      <c r="D158" s="388"/>
      <c r="E158" s="253"/>
      <c r="F158" s="184"/>
    </row>
    <row r="159" spans="1:6" x14ac:dyDescent="0.35">
      <c r="A159" s="255" t="s">
        <v>589</v>
      </c>
      <c r="B159" s="255" t="s">
        <v>593</v>
      </c>
      <c r="C159" s="253"/>
      <c r="D159" s="388"/>
      <c r="E159" s="253"/>
      <c r="F159" s="184"/>
    </row>
    <row r="160" spans="1:6" x14ac:dyDescent="0.35">
      <c r="A160" s="255" t="s">
        <v>594</v>
      </c>
      <c r="B160" s="255" t="s">
        <v>590</v>
      </c>
      <c r="C160" s="253"/>
      <c r="D160" s="388"/>
      <c r="E160" s="253"/>
      <c r="F160" s="184"/>
    </row>
    <row r="161" spans="1:6" x14ac:dyDescent="0.35">
      <c r="A161" s="255" t="s">
        <v>594</v>
      </c>
      <c r="B161" s="255" t="s">
        <v>593</v>
      </c>
      <c r="C161" s="253"/>
      <c r="D161" s="388"/>
      <c r="E161" s="253"/>
      <c r="F161" s="184"/>
    </row>
    <row r="162" spans="1:6" x14ac:dyDescent="0.35">
      <c r="A162" s="184" t="s">
        <v>888</v>
      </c>
      <c r="B162" s="184"/>
      <c r="C162" s="464"/>
      <c r="D162" s="466"/>
      <c r="E162" s="421"/>
      <c r="F162" s="184"/>
    </row>
    <row r="163" spans="1:6" x14ac:dyDescent="0.35">
      <c r="A163" s="184"/>
      <c r="B163" s="184"/>
      <c r="C163" s="464"/>
      <c r="D163" s="466"/>
      <c r="E163" s="421"/>
      <c r="F163" s="184"/>
    </row>
    <row r="164" spans="1:6" x14ac:dyDescent="0.35">
      <c r="A164" s="252" t="s">
        <v>584</v>
      </c>
      <c r="B164" s="253" t="s">
        <v>585</v>
      </c>
      <c r="C164" s="254" t="s">
        <v>586</v>
      </c>
      <c r="D164" s="387" t="s">
        <v>587</v>
      </c>
      <c r="E164" s="253" t="s">
        <v>588</v>
      </c>
      <c r="F164" s="184"/>
    </row>
    <row r="165" spans="1:6" x14ac:dyDescent="0.35">
      <c r="A165" s="252" t="s">
        <v>589</v>
      </c>
      <c r="B165" s="252" t="s">
        <v>590</v>
      </c>
      <c r="C165" s="254"/>
      <c r="D165" s="388"/>
      <c r="E165" s="253"/>
      <c r="F165" s="184"/>
    </row>
    <row r="166" spans="1:6" x14ac:dyDescent="0.35">
      <c r="A166" s="252" t="s">
        <v>589</v>
      </c>
      <c r="B166" s="252" t="s">
        <v>591</v>
      </c>
      <c r="C166" s="254"/>
      <c r="D166" s="388"/>
      <c r="E166" s="253"/>
      <c r="F166" s="184"/>
    </row>
    <row r="167" spans="1:6" x14ac:dyDescent="0.35">
      <c r="A167" s="252" t="s">
        <v>589</v>
      </c>
      <c r="B167" s="252" t="s">
        <v>592</v>
      </c>
      <c r="C167" s="254"/>
      <c r="D167" s="388"/>
      <c r="E167" s="253"/>
      <c r="F167" s="184"/>
    </row>
    <row r="168" spans="1:6" x14ac:dyDescent="0.35">
      <c r="A168" s="252" t="s">
        <v>589</v>
      </c>
      <c r="B168" s="252" t="s">
        <v>593</v>
      </c>
      <c r="C168" s="254"/>
      <c r="D168" s="388"/>
      <c r="E168" s="253"/>
      <c r="F168" s="184"/>
    </row>
    <row r="169" spans="1:6" x14ac:dyDescent="0.35">
      <c r="A169" s="252" t="s">
        <v>594</v>
      </c>
      <c r="B169" s="252" t="s">
        <v>590</v>
      </c>
      <c r="C169" s="254"/>
      <c r="D169" s="388"/>
      <c r="E169" s="253"/>
      <c r="F169" s="184"/>
    </row>
    <row r="170" spans="1:6" x14ac:dyDescent="0.35">
      <c r="A170" s="252" t="s">
        <v>594</v>
      </c>
      <c r="B170" s="252" t="s">
        <v>593</v>
      </c>
      <c r="C170" s="254"/>
      <c r="D170" s="388"/>
      <c r="E170" s="253"/>
      <c r="F170" s="184"/>
    </row>
    <row r="171" spans="1:6" x14ac:dyDescent="0.35">
      <c r="A171" s="184"/>
      <c r="B171" s="184"/>
      <c r="C171" s="464"/>
      <c r="D171" s="466"/>
      <c r="E171" s="421"/>
      <c r="F171" s="184"/>
    </row>
    <row r="172" spans="1:6" x14ac:dyDescent="0.35">
      <c r="A172" s="184" t="s">
        <v>887</v>
      </c>
      <c r="B172" s="184"/>
      <c r="C172" s="464"/>
      <c r="D172" s="466"/>
      <c r="E172" s="421"/>
      <c r="F172" s="184"/>
    </row>
    <row r="173" spans="1:6" x14ac:dyDescent="0.35">
      <c r="A173" s="252" t="s">
        <v>584</v>
      </c>
      <c r="B173" s="253" t="s">
        <v>585</v>
      </c>
      <c r="C173" s="254" t="s">
        <v>586</v>
      </c>
      <c r="D173" s="387" t="s">
        <v>587</v>
      </c>
      <c r="E173" s="253" t="s">
        <v>588</v>
      </c>
      <c r="F173" s="184"/>
    </row>
    <row r="174" spans="1:6" x14ac:dyDescent="0.35">
      <c r="A174" s="252" t="s">
        <v>589</v>
      </c>
      <c r="B174" s="252" t="s">
        <v>590</v>
      </c>
      <c r="C174" s="254"/>
      <c r="D174" s="388"/>
      <c r="E174" s="254"/>
      <c r="F174" s="184"/>
    </row>
    <row r="175" spans="1:6" x14ac:dyDescent="0.35">
      <c r="A175" s="252" t="s">
        <v>589</v>
      </c>
      <c r="B175" s="252" t="s">
        <v>591</v>
      </c>
      <c r="C175" s="254"/>
      <c r="D175" s="388"/>
      <c r="E175" s="254"/>
      <c r="F175" s="184"/>
    </row>
    <row r="176" spans="1:6" x14ac:dyDescent="0.35">
      <c r="A176" s="252" t="s">
        <v>589</v>
      </c>
      <c r="B176" s="252" t="s">
        <v>592</v>
      </c>
      <c r="C176" s="254"/>
      <c r="D176" s="388"/>
      <c r="E176" s="254"/>
      <c r="F176" s="184"/>
    </row>
    <row r="177" spans="1:6" x14ac:dyDescent="0.35">
      <c r="A177" s="252" t="s">
        <v>589</v>
      </c>
      <c r="B177" s="252" t="s">
        <v>593</v>
      </c>
      <c r="C177" s="254"/>
      <c r="D177" s="388"/>
      <c r="E177" s="254"/>
      <c r="F177" s="184"/>
    </row>
    <row r="178" spans="1:6" x14ac:dyDescent="0.35">
      <c r="A178" s="252" t="s">
        <v>594</v>
      </c>
      <c r="B178" s="252" t="s">
        <v>590</v>
      </c>
      <c r="C178" s="254"/>
      <c r="D178" s="388"/>
      <c r="E178" s="254"/>
      <c r="F178" s="184"/>
    </row>
    <row r="179" spans="1:6" x14ac:dyDescent="0.35">
      <c r="A179" s="252" t="s">
        <v>594</v>
      </c>
      <c r="B179" s="252" t="s">
        <v>593</v>
      </c>
      <c r="C179" s="254"/>
      <c r="D179" s="388"/>
      <c r="E179" s="254"/>
      <c r="F179" s="184"/>
    </row>
    <row r="180" spans="1:6" x14ac:dyDescent="0.35">
      <c r="A180" s="184" t="s">
        <v>595</v>
      </c>
      <c r="B180" s="196">
        <f>D174+D175</f>
        <v>0</v>
      </c>
      <c r="C180" s="464"/>
      <c r="D180" s="466"/>
      <c r="E180" s="421"/>
      <c r="F180" s="184"/>
    </row>
    <row r="181" spans="1:6" ht="29" x14ac:dyDescent="0.35">
      <c r="A181" s="185" t="s">
        <v>596</v>
      </c>
      <c r="B181" s="429">
        <f>(((B180*(F138/100))/100*9.4))</f>
        <v>0</v>
      </c>
      <c r="C181" s="464"/>
      <c r="D181" s="466"/>
      <c r="E181" s="421"/>
      <c r="F181" s="184"/>
    </row>
    <row r="182" spans="1:6" ht="29" x14ac:dyDescent="0.35">
      <c r="A182" s="185" t="s">
        <v>597</v>
      </c>
      <c r="B182" s="429">
        <f>((B180*(F139/100)/100)*9.4)</f>
        <v>0</v>
      </c>
      <c r="C182" s="464"/>
      <c r="D182" s="466"/>
      <c r="E182" s="421"/>
      <c r="F182" s="184"/>
    </row>
    <row r="183" spans="1:6" ht="18.5" x14ac:dyDescent="0.45">
      <c r="A183" s="182" t="s">
        <v>555</v>
      </c>
      <c r="B183" s="184"/>
      <c r="C183" s="464"/>
      <c r="D183" s="466"/>
      <c r="E183" s="421"/>
      <c r="F183" s="184"/>
    </row>
    <row r="184" spans="1:6" ht="58" x14ac:dyDescent="0.35">
      <c r="A184" s="269" t="s">
        <v>598</v>
      </c>
      <c r="B184" s="185"/>
      <c r="C184" s="464"/>
      <c r="D184" s="465"/>
      <c r="E184" s="421"/>
      <c r="F184" s="184"/>
    </row>
    <row r="185" spans="1:6" ht="72.5" x14ac:dyDescent="0.35">
      <c r="A185" s="185" t="s">
        <v>599</v>
      </c>
      <c r="B185" s="185"/>
      <c r="C185" s="464"/>
      <c r="D185" s="465"/>
      <c r="E185" s="421"/>
      <c r="F185" s="184"/>
    </row>
    <row r="186" spans="1:6" ht="29" x14ac:dyDescent="0.35">
      <c r="A186" s="185" t="s">
        <v>600</v>
      </c>
      <c r="B186" s="185"/>
      <c r="C186" s="464"/>
      <c r="D186" s="465"/>
      <c r="E186" s="421"/>
      <c r="F186" s="184"/>
    </row>
    <row r="187" spans="1:6" x14ac:dyDescent="0.35">
      <c r="A187" s="185"/>
      <c r="B187" s="185"/>
      <c r="C187" s="464"/>
      <c r="D187" s="465"/>
      <c r="E187" s="421"/>
      <c r="F187" s="184"/>
    </row>
    <row r="188" spans="1:6" x14ac:dyDescent="0.35">
      <c r="A188" s="267"/>
      <c r="B188" s="267"/>
      <c r="C188" s="538"/>
      <c r="D188" s="467"/>
      <c r="E188" s="382"/>
    </row>
    <row r="189" spans="1:6" ht="18.5" x14ac:dyDescent="0.45">
      <c r="A189" s="309" t="s">
        <v>601</v>
      </c>
      <c r="B189" s="267"/>
      <c r="C189" s="538"/>
      <c r="D189" s="467"/>
      <c r="E189" s="382"/>
    </row>
    <row r="190" spans="1:6" x14ac:dyDescent="0.35">
      <c r="A190" s="267"/>
      <c r="B190" s="267"/>
      <c r="C190" s="538"/>
      <c r="D190" s="467"/>
      <c r="E190" s="382"/>
    </row>
    <row r="191" spans="1:6" ht="18.5" x14ac:dyDescent="0.45">
      <c r="A191" s="310" t="s">
        <v>602</v>
      </c>
      <c r="B191" s="267"/>
      <c r="C191" s="538"/>
      <c r="D191" s="467"/>
      <c r="E191" s="382"/>
    </row>
    <row r="192" spans="1:6" x14ac:dyDescent="0.35">
      <c r="A192" s="267" t="s">
        <v>878</v>
      </c>
      <c r="B192" s="267"/>
      <c r="C192" s="538"/>
      <c r="D192" s="467"/>
      <c r="E192" s="382"/>
    </row>
    <row r="193" spans="1:5" ht="29" x14ac:dyDescent="0.35">
      <c r="A193" s="268" t="s">
        <v>603</v>
      </c>
      <c r="B193" s="267"/>
      <c r="C193" s="538"/>
      <c r="D193" s="467"/>
      <c r="E193" s="382"/>
    </row>
    <row r="194" spans="1:5" x14ac:dyDescent="0.35">
      <c r="A194" s="267"/>
      <c r="B194" s="267"/>
      <c r="C194" s="538"/>
      <c r="D194" s="467"/>
      <c r="E194" s="382"/>
    </row>
    <row r="195" spans="1:5" x14ac:dyDescent="0.35">
      <c r="A195" s="267" t="s">
        <v>604</v>
      </c>
      <c r="B195" s="267"/>
      <c r="C195" s="538"/>
      <c r="D195" s="467"/>
      <c r="E195" s="382"/>
    </row>
    <row r="196" spans="1:5" x14ac:dyDescent="0.35">
      <c r="A196" s="267"/>
      <c r="B196" s="267"/>
      <c r="C196" s="538"/>
      <c r="D196" s="467"/>
      <c r="E196" s="382"/>
    </row>
    <row r="197" spans="1:5" x14ac:dyDescent="0.35">
      <c r="A197" s="267" t="s">
        <v>605</v>
      </c>
      <c r="B197" s="267"/>
      <c r="C197" s="538"/>
      <c r="D197" s="467"/>
      <c r="E197" s="382"/>
    </row>
    <row r="198" spans="1:5" ht="29" x14ac:dyDescent="0.35">
      <c r="A198" s="773" t="s">
        <v>606</v>
      </c>
      <c r="B198" s="286" t="s">
        <v>607</v>
      </c>
      <c r="C198" s="287" t="s">
        <v>608</v>
      </c>
      <c r="D198" s="389" t="s">
        <v>609</v>
      </c>
      <c r="E198" s="287" t="s">
        <v>610</v>
      </c>
    </row>
    <row r="199" spans="1:5" x14ac:dyDescent="0.35">
      <c r="A199" s="773"/>
      <c r="B199" s="285" t="s">
        <v>611</v>
      </c>
      <c r="C199" s="413">
        <v>0.2</v>
      </c>
      <c r="D199" s="389">
        <v>0.5</v>
      </c>
      <c r="E199" s="413">
        <v>0.5</v>
      </c>
    </row>
    <row r="200" spans="1:5" ht="15" customHeight="1" x14ac:dyDescent="0.35">
      <c r="A200" s="774" t="s">
        <v>612</v>
      </c>
      <c r="B200" s="288"/>
      <c r="C200" s="382"/>
      <c r="D200" s="468"/>
      <c r="E200" s="382"/>
    </row>
    <row r="201" spans="1:5" x14ac:dyDescent="0.35">
      <c r="A201" s="774"/>
      <c r="B201" s="394" t="s">
        <v>251</v>
      </c>
      <c r="C201" s="395" t="s">
        <v>252</v>
      </c>
      <c r="D201" s="396" t="s">
        <v>253</v>
      </c>
      <c r="E201" s="382"/>
    </row>
    <row r="202" spans="1:5" x14ac:dyDescent="0.35">
      <c r="A202" s="774"/>
      <c r="B202" s="287" t="s">
        <v>607</v>
      </c>
      <c r="C202" s="286">
        <v>1.5</v>
      </c>
      <c r="D202" s="389" t="s">
        <v>613</v>
      </c>
      <c r="E202" s="382"/>
    </row>
    <row r="203" spans="1:5" x14ac:dyDescent="0.35">
      <c r="A203" s="774"/>
      <c r="B203" s="287" t="s">
        <v>614</v>
      </c>
      <c r="C203" s="286">
        <v>0.2</v>
      </c>
      <c r="D203" s="389"/>
      <c r="E203" s="382"/>
    </row>
    <row r="204" spans="1:5" x14ac:dyDescent="0.35">
      <c r="A204" s="774"/>
      <c r="B204" s="373" t="s">
        <v>615</v>
      </c>
      <c r="C204" s="286">
        <v>1</v>
      </c>
      <c r="D204" s="389" t="s">
        <v>616</v>
      </c>
      <c r="E204" s="382"/>
    </row>
    <row r="205" spans="1:5" ht="29" x14ac:dyDescent="0.35">
      <c r="A205" s="774"/>
      <c r="B205" s="373" t="s">
        <v>617</v>
      </c>
      <c r="C205" s="286">
        <v>0</v>
      </c>
      <c r="D205" s="389"/>
      <c r="E205" s="382"/>
    </row>
    <row r="206" spans="1:5" x14ac:dyDescent="0.35">
      <c r="A206" s="774"/>
      <c r="B206" s="373" t="s">
        <v>618</v>
      </c>
      <c r="C206" s="286">
        <v>0.5</v>
      </c>
      <c r="D206" s="389"/>
      <c r="E206" s="382"/>
    </row>
    <row r="207" spans="1:5" x14ac:dyDescent="0.35">
      <c r="A207" s="290" t="s">
        <v>619</v>
      </c>
      <c r="B207" s="393" t="s">
        <v>620</v>
      </c>
      <c r="C207" s="469">
        <v>0.5</v>
      </c>
      <c r="D207" s="470"/>
      <c r="E207" s="382"/>
    </row>
    <row r="208" spans="1:5" x14ac:dyDescent="0.35">
      <c r="A208" s="289"/>
      <c r="B208" s="372" t="s">
        <v>621</v>
      </c>
      <c r="C208" s="286">
        <f>((C202*C203*C204)+(C205*C206*(1-C207)))</f>
        <v>0.30000000000000004</v>
      </c>
      <c r="D208" s="471" t="s">
        <v>622</v>
      </c>
      <c r="E208" s="382"/>
    </row>
    <row r="209" spans="1:5" x14ac:dyDescent="0.35">
      <c r="A209" s="289" t="s">
        <v>623</v>
      </c>
      <c r="B209" s="372" t="s">
        <v>624</v>
      </c>
      <c r="C209" s="287">
        <f>13*B211</f>
        <v>3.9000000000000004</v>
      </c>
      <c r="D209" s="471" t="s">
        <v>622</v>
      </c>
      <c r="E209" s="382"/>
    </row>
    <row r="210" spans="1:5" x14ac:dyDescent="0.35">
      <c r="A210" s="289"/>
      <c r="B210" s="267"/>
      <c r="C210" s="538"/>
      <c r="D210" s="467"/>
      <c r="E210" s="382"/>
    </row>
    <row r="211" spans="1:5" x14ac:dyDescent="0.35">
      <c r="A211" s="289" t="s">
        <v>625</v>
      </c>
      <c r="B211" s="267">
        <f>((C202*C203*C204)+(C205*C206*(1-C207)))</f>
        <v>0.30000000000000004</v>
      </c>
      <c r="C211" s="538" t="s">
        <v>626</v>
      </c>
      <c r="D211" s="467"/>
      <c r="E211" s="382"/>
    </row>
    <row r="212" spans="1:5" x14ac:dyDescent="0.35">
      <c r="A212" s="289" t="s">
        <v>879</v>
      </c>
      <c r="B212" s="267">
        <f>13*B211</f>
        <v>3.9000000000000004</v>
      </c>
      <c r="C212" s="538" t="s">
        <v>626</v>
      </c>
      <c r="D212" s="467"/>
      <c r="E212" s="382"/>
    </row>
    <row r="213" spans="1:5" x14ac:dyDescent="0.35">
      <c r="A213" s="289"/>
      <c r="B213" s="267"/>
      <c r="C213" s="538"/>
      <c r="D213" s="467"/>
      <c r="E213" s="382"/>
    </row>
    <row r="214" spans="1:5" x14ac:dyDescent="0.35">
      <c r="A214" s="267"/>
      <c r="B214" s="267"/>
      <c r="C214" s="538"/>
      <c r="D214" s="467"/>
      <c r="E214" s="382"/>
    </row>
    <row r="215" spans="1:5" ht="18.5" x14ac:dyDescent="0.45">
      <c r="A215" s="309" t="s">
        <v>627</v>
      </c>
      <c r="B215" s="267"/>
      <c r="C215" s="538"/>
      <c r="D215" s="467"/>
      <c r="E215" s="382"/>
    </row>
    <row r="216" spans="1:5" ht="43.5" x14ac:dyDescent="0.35">
      <c r="A216" s="268" t="s">
        <v>628</v>
      </c>
      <c r="B216" s="267"/>
      <c r="C216" s="538"/>
      <c r="D216" s="467"/>
      <c r="E216" s="382"/>
    </row>
    <row r="217" spans="1:5" x14ac:dyDescent="0.35">
      <c r="A217" s="267"/>
      <c r="B217" s="267"/>
      <c r="C217" s="538"/>
      <c r="D217" s="467"/>
      <c r="E217" s="382"/>
    </row>
    <row r="218" spans="1:5" ht="29" x14ac:dyDescent="0.35">
      <c r="A218" s="268" t="s">
        <v>629</v>
      </c>
      <c r="B218" s="267"/>
      <c r="C218" s="538"/>
      <c r="D218" s="467"/>
      <c r="E218" s="382"/>
    </row>
    <row r="219" spans="1:5" ht="17.25" customHeight="1" x14ac:dyDescent="0.35">
      <c r="A219" s="267"/>
      <c r="B219" s="267"/>
      <c r="C219" s="538"/>
      <c r="D219" s="467"/>
      <c r="E219" s="382"/>
    </row>
    <row r="220" spans="1:5" x14ac:dyDescent="0.35">
      <c r="A220" s="267"/>
      <c r="B220" s="267"/>
      <c r="C220" s="538"/>
      <c r="D220" s="467"/>
      <c r="E220" s="382"/>
    </row>
    <row r="221" spans="1:5" x14ac:dyDescent="0.35">
      <c r="A221" s="297"/>
      <c r="B221" s="297"/>
      <c r="C221" s="502"/>
      <c r="D221" s="472"/>
      <c r="E221" s="422"/>
    </row>
    <row r="222" spans="1:5" x14ac:dyDescent="0.35">
      <c r="A222" s="297"/>
      <c r="B222" s="297"/>
      <c r="C222" s="502"/>
      <c r="D222" s="472"/>
      <c r="E222" s="422"/>
    </row>
    <row r="223" spans="1:5" ht="18.5" x14ac:dyDescent="0.45">
      <c r="A223" s="307" t="s">
        <v>79</v>
      </c>
      <c r="B223" s="297"/>
      <c r="C223" s="502"/>
      <c r="D223" s="472"/>
      <c r="E223" s="422"/>
    </row>
    <row r="224" spans="1:5" ht="15.5" x14ac:dyDescent="0.35">
      <c r="A224" s="298" t="s">
        <v>630</v>
      </c>
      <c r="B224" s="297"/>
      <c r="C224" s="502"/>
      <c r="D224" s="472"/>
      <c r="E224" s="422"/>
    </row>
    <row r="225" spans="1:5" ht="29" x14ac:dyDescent="0.35">
      <c r="A225" s="305" t="s">
        <v>880</v>
      </c>
      <c r="B225" s="297"/>
      <c r="C225" s="502"/>
      <c r="D225" s="472"/>
      <c r="E225" s="422"/>
    </row>
    <row r="226" spans="1:5" ht="29" x14ac:dyDescent="0.35">
      <c r="A226" s="305" t="s">
        <v>881</v>
      </c>
      <c r="B226" s="297"/>
      <c r="C226" s="502"/>
      <c r="D226" s="472"/>
      <c r="E226" s="422"/>
    </row>
    <row r="227" spans="1:5" x14ac:dyDescent="0.35">
      <c r="A227" s="305"/>
      <c r="B227" s="297"/>
      <c r="C227" s="502"/>
      <c r="D227" s="472"/>
      <c r="E227" s="422"/>
    </row>
    <row r="228" spans="1:5" ht="15.5" x14ac:dyDescent="0.35">
      <c r="A228" s="308" t="s">
        <v>631</v>
      </c>
      <c r="B228" s="297"/>
      <c r="C228" s="502"/>
      <c r="D228" s="472"/>
      <c r="E228" s="422"/>
    </row>
    <row r="229" spans="1:5" ht="29" x14ac:dyDescent="0.35">
      <c r="A229" s="305" t="s">
        <v>882</v>
      </c>
      <c r="B229" s="297"/>
      <c r="C229" s="502"/>
      <c r="D229" s="472"/>
      <c r="E229" s="422"/>
    </row>
    <row r="230" spans="1:5" x14ac:dyDescent="0.35">
      <c r="A230" s="305" t="s">
        <v>883</v>
      </c>
      <c r="B230" s="297"/>
      <c r="C230" s="502"/>
      <c r="D230" s="472"/>
      <c r="E230" s="422"/>
    </row>
    <row r="231" spans="1:5" ht="16.5" x14ac:dyDescent="0.35">
      <c r="A231" s="305" t="s">
        <v>884</v>
      </c>
      <c r="B231" s="297"/>
      <c r="C231" s="502"/>
      <c r="D231" s="472"/>
      <c r="E231" s="422"/>
    </row>
    <row r="232" spans="1:5" x14ac:dyDescent="0.35">
      <c r="A232" s="297"/>
      <c r="B232" s="297"/>
      <c r="C232" s="502"/>
      <c r="D232" s="472"/>
      <c r="E232" s="422"/>
    </row>
    <row r="233" spans="1:5" ht="18.5" x14ac:dyDescent="0.45">
      <c r="A233" s="307" t="s">
        <v>602</v>
      </c>
      <c r="B233" s="297"/>
      <c r="C233" s="502"/>
      <c r="D233" s="472"/>
      <c r="E233" s="422"/>
    </row>
    <row r="234" spans="1:5" ht="29" x14ac:dyDescent="0.35">
      <c r="A234" s="305" t="s">
        <v>886</v>
      </c>
      <c r="B234" s="297"/>
      <c r="C234" s="502"/>
      <c r="D234" s="472"/>
      <c r="E234" s="422"/>
    </row>
    <row r="235" spans="1:5" x14ac:dyDescent="0.35">
      <c r="A235" s="297" t="s">
        <v>632</v>
      </c>
      <c r="B235" s="825" t="s">
        <v>885</v>
      </c>
      <c r="C235" s="502" t="s">
        <v>633</v>
      </c>
      <c r="D235" s="472"/>
      <c r="E235" s="422"/>
    </row>
    <row r="236" spans="1:5" x14ac:dyDescent="0.35">
      <c r="A236" s="297" t="s">
        <v>634</v>
      </c>
      <c r="B236" s="825" t="s">
        <v>885</v>
      </c>
      <c r="C236" s="502" t="s">
        <v>633</v>
      </c>
      <c r="D236" s="472"/>
      <c r="E236" s="422"/>
    </row>
    <row r="237" spans="1:5" x14ac:dyDescent="0.35">
      <c r="A237" s="297"/>
      <c r="B237" s="297"/>
      <c r="C237" s="502"/>
      <c r="D237" s="472"/>
      <c r="E237" s="422"/>
    </row>
    <row r="238" spans="1:5" ht="18.5" x14ac:dyDescent="0.45">
      <c r="A238" s="307" t="s">
        <v>635</v>
      </c>
      <c r="B238" s="297"/>
      <c r="C238" s="502"/>
      <c r="D238" s="472"/>
      <c r="E238" s="422"/>
    </row>
    <row r="239" spans="1:5" x14ac:dyDescent="0.35">
      <c r="A239" s="297"/>
      <c r="B239" s="297"/>
      <c r="C239" s="502"/>
      <c r="D239" s="472"/>
      <c r="E239" s="422"/>
    </row>
    <row r="240" spans="1:5" x14ac:dyDescent="0.35">
      <c r="A240" s="306" t="s">
        <v>636</v>
      </c>
      <c r="B240" s="306"/>
      <c r="C240" s="539"/>
      <c r="D240" s="472"/>
      <c r="E240" s="422"/>
    </row>
    <row r="241" spans="1:5" x14ac:dyDescent="0.35">
      <c r="A241" s="297"/>
      <c r="B241" s="297"/>
      <c r="C241" s="502"/>
      <c r="D241" s="472"/>
      <c r="E241" s="422"/>
    </row>
    <row r="242" spans="1:5" ht="15.5" x14ac:dyDescent="0.35">
      <c r="A242" s="298" t="s">
        <v>637</v>
      </c>
      <c r="B242" s="297"/>
      <c r="C242" s="502"/>
      <c r="D242" s="472"/>
      <c r="E242" s="422"/>
    </row>
    <row r="243" spans="1:5" x14ac:dyDescent="0.35">
      <c r="A243" s="297" t="s">
        <v>638</v>
      </c>
      <c r="B243" s="297"/>
      <c r="C243" s="502"/>
      <c r="D243" s="472"/>
      <c r="E243" s="422"/>
    </row>
    <row r="244" spans="1:5" x14ac:dyDescent="0.35">
      <c r="A244" s="297"/>
      <c r="B244" s="297"/>
      <c r="C244" s="502"/>
      <c r="D244" s="472"/>
      <c r="E244" s="422"/>
    </row>
    <row r="245" spans="1:5" x14ac:dyDescent="0.35">
      <c r="A245" s="297" t="s">
        <v>639</v>
      </c>
      <c r="B245" s="297"/>
      <c r="C245" s="502"/>
      <c r="D245" s="472"/>
      <c r="E245" s="422"/>
    </row>
    <row r="246" spans="1:5" ht="123" customHeight="1" x14ac:dyDescent="0.35">
      <c r="A246" s="775" t="s">
        <v>640</v>
      </c>
      <c r="B246" s="775"/>
      <c r="C246" s="775"/>
      <c r="D246" s="775"/>
      <c r="E246" s="775"/>
    </row>
    <row r="247" spans="1:5" ht="15.5" x14ac:dyDescent="0.35">
      <c r="A247" s="298" t="s">
        <v>641</v>
      </c>
      <c r="B247" s="297"/>
      <c r="C247" s="502"/>
      <c r="D247" s="472"/>
      <c r="E247" s="422"/>
    </row>
    <row r="248" spans="1:5" x14ac:dyDescent="0.35">
      <c r="A248" s="297" t="s">
        <v>642</v>
      </c>
      <c r="B248" s="297"/>
      <c r="C248" s="502"/>
      <c r="D248" s="472"/>
      <c r="E248" s="422"/>
    </row>
    <row r="249" spans="1:5" x14ac:dyDescent="0.35">
      <c r="A249" s="297" t="s">
        <v>639</v>
      </c>
      <c r="B249" s="297"/>
      <c r="C249" s="502"/>
      <c r="D249" s="472"/>
      <c r="E249" s="422"/>
    </row>
    <row r="250" spans="1:5" x14ac:dyDescent="0.35">
      <c r="A250" s="776" t="s">
        <v>643</v>
      </c>
      <c r="B250" s="776"/>
      <c r="C250" s="776"/>
      <c r="D250" s="776"/>
      <c r="E250" s="776"/>
    </row>
    <row r="251" spans="1:5" x14ac:dyDescent="0.35">
      <c r="A251" s="776"/>
      <c r="B251" s="776"/>
      <c r="C251" s="776"/>
      <c r="D251" s="776"/>
      <c r="E251" s="776"/>
    </row>
    <row r="252" spans="1:5" x14ac:dyDescent="0.35">
      <c r="A252" s="776"/>
      <c r="B252" s="776"/>
      <c r="C252" s="776"/>
      <c r="D252" s="776"/>
      <c r="E252" s="776"/>
    </row>
    <row r="253" spans="1:5" x14ac:dyDescent="0.35">
      <c r="A253" s="776"/>
      <c r="B253" s="776"/>
      <c r="C253" s="776"/>
      <c r="D253" s="776"/>
      <c r="E253" s="776"/>
    </row>
    <row r="254" spans="1:5" x14ac:dyDescent="0.35">
      <c r="A254" s="776"/>
      <c r="B254" s="776"/>
      <c r="C254" s="776"/>
      <c r="D254" s="776"/>
      <c r="E254" s="776"/>
    </row>
    <row r="255" spans="1:5" x14ac:dyDescent="0.35">
      <c r="A255" s="297"/>
      <c r="B255" s="297"/>
      <c r="C255" s="502"/>
      <c r="D255" s="472"/>
      <c r="E255" s="422"/>
    </row>
    <row r="256" spans="1:5" x14ac:dyDescent="0.35">
      <c r="A256" s="297"/>
      <c r="B256" s="297"/>
      <c r="C256" s="502"/>
      <c r="D256" s="472"/>
      <c r="E256" s="422"/>
    </row>
    <row r="257" spans="1:5" ht="57" customHeight="1" x14ac:dyDescent="0.35">
      <c r="A257" s="297"/>
      <c r="B257" s="297"/>
      <c r="C257" s="374" t="s">
        <v>644</v>
      </c>
      <c r="D257" s="378">
        <v>0</v>
      </c>
      <c r="E257" s="374" t="s">
        <v>645</v>
      </c>
    </row>
    <row r="258" spans="1:5" ht="55.5" customHeight="1" x14ac:dyDescent="0.35">
      <c r="A258" s="297"/>
      <c r="B258" s="297"/>
      <c r="C258" s="374" t="s">
        <v>646</v>
      </c>
      <c r="D258" s="379">
        <v>0.18</v>
      </c>
      <c r="E258" s="374" t="s">
        <v>645</v>
      </c>
    </row>
    <row r="259" spans="1:5" ht="55.5" customHeight="1" x14ac:dyDescent="0.35">
      <c r="A259" s="297"/>
      <c r="B259" s="297"/>
      <c r="C259" s="374" t="s">
        <v>647</v>
      </c>
      <c r="D259" s="826" t="e">
        <f>D264*D266 *D267*D268</f>
        <v>#VALUE!</v>
      </c>
      <c r="E259" s="374" t="s">
        <v>648</v>
      </c>
    </row>
    <row r="260" spans="1:5" ht="29" x14ac:dyDescent="0.35">
      <c r="A260" s="297"/>
      <c r="B260" s="297"/>
      <c r="C260" s="374" t="s">
        <v>649</v>
      </c>
      <c r="D260" s="827" t="e">
        <f>D265*D266*D267*D268</f>
        <v>#VALUE!</v>
      </c>
      <c r="E260" s="374" t="s">
        <v>648</v>
      </c>
    </row>
    <row r="261" spans="1:5" ht="29" x14ac:dyDescent="0.35">
      <c r="A261" s="297" t="s">
        <v>650</v>
      </c>
      <c r="B261" s="297"/>
      <c r="C261" s="374" t="s">
        <v>651</v>
      </c>
      <c r="D261" s="381">
        <v>3.9600000000000003E-2</v>
      </c>
      <c r="E261" s="374" t="s">
        <v>645</v>
      </c>
    </row>
    <row r="262" spans="1:5" ht="43.5" x14ac:dyDescent="0.35">
      <c r="A262" s="298" t="s">
        <v>652</v>
      </c>
      <c r="B262" s="297"/>
      <c r="C262" s="374" t="s">
        <v>653</v>
      </c>
      <c r="D262" s="379">
        <v>0.85</v>
      </c>
      <c r="E262" s="374"/>
    </row>
    <row r="263" spans="1:5" ht="43.5" x14ac:dyDescent="0.35">
      <c r="A263" s="377" t="s">
        <v>654</v>
      </c>
      <c r="B263" s="297"/>
      <c r="C263" s="374" t="s">
        <v>655</v>
      </c>
      <c r="D263" s="378">
        <v>1</v>
      </c>
      <c r="E263" s="374"/>
    </row>
    <row r="264" spans="1:5" ht="28.5" customHeight="1" x14ac:dyDescent="0.35">
      <c r="A264" s="829" t="e">
        <f>D259</f>
        <v>#VALUE!</v>
      </c>
      <c r="B264" s="391" t="s">
        <v>656</v>
      </c>
      <c r="C264" s="374" t="s">
        <v>657</v>
      </c>
      <c r="D264" s="828" t="str">
        <f>B235</f>
        <v>XX</v>
      </c>
      <c r="E264" s="374" t="s">
        <v>633</v>
      </c>
    </row>
    <row r="265" spans="1:5" x14ac:dyDescent="0.35">
      <c r="A265" s="377" t="s">
        <v>658</v>
      </c>
      <c r="B265" s="297"/>
      <c r="C265" s="374" t="s">
        <v>659</v>
      </c>
      <c r="D265" s="828" t="str">
        <f>B236</f>
        <v>XX</v>
      </c>
      <c r="E265" s="374" t="s">
        <v>633</v>
      </c>
    </row>
    <row r="266" spans="1:5" x14ac:dyDescent="0.35">
      <c r="A266" s="830" t="e">
        <f>(D257*D259*D262)+(D261*D259*(1-D262)*D269)</f>
        <v>#VALUE!</v>
      </c>
      <c r="B266" s="306" t="s">
        <v>660</v>
      </c>
      <c r="C266" s="374" t="s">
        <v>661</v>
      </c>
      <c r="D266" s="379">
        <v>0.06</v>
      </c>
      <c r="E266" s="374" t="s">
        <v>662</v>
      </c>
    </row>
    <row r="267" spans="1:5" ht="29" x14ac:dyDescent="0.35">
      <c r="A267" s="298" t="s">
        <v>663</v>
      </c>
      <c r="B267" s="297"/>
      <c r="C267" s="374" t="s">
        <v>664</v>
      </c>
      <c r="D267" s="379">
        <v>1.25</v>
      </c>
      <c r="E267" s="374"/>
    </row>
    <row r="268" spans="1:5" x14ac:dyDescent="0.35">
      <c r="A268" s="377" t="s">
        <v>665</v>
      </c>
      <c r="B268" s="297"/>
      <c r="C268" s="374" t="s">
        <v>666</v>
      </c>
      <c r="D268" s="378">
        <v>365</v>
      </c>
      <c r="E268" s="374"/>
    </row>
    <row r="269" spans="1:5" x14ac:dyDescent="0.35">
      <c r="A269" s="831" t="e">
        <f>D260</f>
        <v>#VALUE!</v>
      </c>
      <c r="B269" s="306" t="s">
        <v>656</v>
      </c>
      <c r="C269" s="392" t="s">
        <v>667</v>
      </c>
      <c r="D269" s="398">
        <v>1E-3</v>
      </c>
      <c r="E269" s="392"/>
    </row>
    <row r="270" spans="1:5" ht="29" x14ac:dyDescent="0.35">
      <c r="A270" s="377" t="s">
        <v>668</v>
      </c>
      <c r="B270" s="297"/>
      <c r="C270" s="375" t="s">
        <v>669</v>
      </c>
      <c r="D270" s="827" t="e">
        <f>((D257*D259*D262)+(D261*D259*(1-D262)))*D269</f>
        <v>#VALUE!</v>
      </c>
      <c r="E270" s="374" t="s">
        <v>670</v>
      </c>
    </row>
    <row r="271" spans="1:5" ht="29" x14ac:dyDescent="0.35">
      <c r="A271" s="831" t="e">
        <f>D271</f>
        <v>#VALUE!</v>
      </c>
      <c r="B271" s="306" t="s">
        <v>660</v>
      </c>
      <c r="C271" s="375" t="s">
        <v>671</v>
      </c>
      <c r="D271" s="827" t="e">
        <f>((D258*D260*D263)+(D261*D260*(1-D263)))*D269</f>
        <v>#VALUE!</v>
      </c>
      <c r="E271" s="374" t="s">
        <v>670</v>
      </c>
    </row>
    <row r="272" spans="1:5" x14ac:dyDescent="0.35">
      <c r="A272" s="297"/>
      <c r="B272" s="297"/>
      <c r="C272" s="502"/>
      <c r="D272" s="472"/>
      <c r="E272" s="422"/>
    </row>
    <row r="273" spans="1:5" ht="15.5" x14ac:dyDescent="0.35">
      <c r="A273" s="298" t="s">
        <v>672</v>
      </c>
      <c r="B273" s="297"/>
      <c r="C273" s="502"/>
      <c r="D273" s="472"/>
      <c r="E273" s="422"/>
    </row>
    <row r="274" spans="1:5" x14ac:dyDescent="0.35">
      <c r="A274" s="297" t="s">
        <v>673</v>
      </c>
      <c r="B274" s="297"/>
      <c r="C274" s="502"/>
      <c r="D274" s="472"/>
      <c r="E274" s="422"/>
    </row>
    <row r="275" spans="1:5" x14ac:dyDescent="0.35">
      <c r="A275" s="297"/>
      <c r="B275" s="330"/>
      <c r="C275" s="502"/>
      <c r="D275" s="472"/>
      <c r="E275" s="422"/>
    </row>
    <row r="276" spans="1:5" x14ac:dyDescent="0.35">
      <c r="A276" s="306" t="s">
        <v>674</v>
      </c>
      <c r="B276" s="330"/>
      <c r="C276" s="502"/>
      <c r="D276" s="472"/>
      <c r="E276" s="422"/>
    </row>
    <row r="277" spans="1:5" x14ac:dyDescent="0.35">
      <c r="A277" s="297" t="s">
        <v>639</v>
      </c>
      <c r="B277" s="330"/>
      <c r="C277" s="764"/>
      <c r="D277" s="764"/>
      <c r="E277" s="764"/>
    </row>
    <row r="278" spans="1:5" ht="186" customHeight="1" x14ac:dyDescent="0.35">
      <c r="A278" s="376" t="s">
        <v>675</v>
      </c>
      <c r="B278" s="297"/>
      <c r="C278" s="765" t="s">
        <v>676</v>
      </c>
      <c r="D278" s="765"/>
      <c r="E278" s="765"/>
    </row>
    <row r="279" spans="1:5" x14ac:dyDescent="0.35">
      <c r="A279" s="297"/>
      <c r="B279" s="297"/>
      <c r="C279" s="502"/>
      <c r="D279" s="472"/>
      <c r="E279" s="422"/>
    </row>
    <row r="280" spans="1:5" x14ac:dyDescent="0.35">
      <c r="A280" s="297"/>
      <c r="B280" s="297"/>
      <c r="C280" s="397" t="s">
        <v>251</v>
      </c>
      <c r="D280" s="454" t="s">
        <v>252</v>
      </c>
      <c r="E280" s="397" t="s">
        <v>253</v>
      </c>
    </row>
    <row r="281" spans="1:5" ht="41" customHeight="1" x14ac:dyDescent="0.35">
      <c r="A281" s="297"/>
      <c r="B281" s="297"/>
      <c r="C281" s="375" t="s">
        <v>677</v>
      </c>
      <c r="D281" s="380">
        <v>1.6E-2</v>
      </c>
      <c r="E281" s="374" t="s">
        <v>678</v>
      </c>
    </row>
    <row r="282" spans="1:5" ht="29" x14ac:dyDescent="0.35">
      <c r="A282" s="297"/>
      <c r="B282" s="297"/>
      <c r="C282" s="375" t="s">
        <v>679</v>
      </c>
      <c r="D282" s="400">
        <v>0</v>
      </c>
      <c r="E282" s="374" t="s">
        <v>678</v>
      </c>
    </row>
    <row r="283" spans="1:5" ht="29" x14ac:dyDescent="0.35">
      <c r="A283" s="297"/>
      <c r="B283" s="297"/>
      <c r="C283" s="374" t="s">
        <v>680</v>
      </c>
      <c r="D283" s="399" t="e">
        <f>D290*D287*D289*D291*D292</f>
        <v>#VALUE!</v>
      </c>
      <c r="E283" s="374" t="s">
        <v>681</v>
      </c>
    </row>
    <row r="284" spans="1:5" ht="29" x14ac:dyDescent="0.35">
      <c r="A284" s="297"/>
      <c r="B284" s="297"/>
      <c r="C284" s="374" t="s">
        <v>682</v>
      </c>
      <c r="D284" s="379" t="e">
        <f>D290*D288*D289*D291*D292</f>
        <v>#VALUE!</v>
      </c>
      <c r="E284" s="374" t="s">
        <v>681</v>
      </c>
    </row>
    <row r="285" spans="1:5" ht="29" x14ac:dyDescent="0.35">
      <c r="A285" s="297"/>
      <c r="B285" s="297"/>
      <c r="C285" s="375" t="s">
        <v>683</v>
      </c>
      <c r="D285" s="390">
        <f>44/28</f>
        <v>1.5714285714285714</v>
      </c>
      <c r="E285" s="374"/>
    </row>
    <row r="286" spans="1:5" x14ac:dyDescent="0.35">
      <c r="A286" s="297"/>
      <c r="B286" s="297"/>
      <c r="C286" s="375" t="s">
        <v>684</v>
      </c>
      <c r="D286" s="380">
        <v>1E-3</v>
      </c>
      <c r="E286" s="374"/>
    </row>
    <row r="287" spans="1:5" ht="15" customHeight="1" x14ac:dyDescent="0.35">
      <c r="A287" s="297"/>
      <c r="B287" s="297"/>
      <c r="C287" s="375" t="s">
        <v>685</v>
      </c>
      <c r="D287" s="828" t="str">
        <f>B235</f>
        <v>XX</v>
      </c>
      <c r="E287" s="374" t="s">
        <v>633</v>
      </c>
    </row>
    <row r="288" spans="1:5" ht="15" customHeight="1" x14ac:dyDescent="0.35">
      <c r="A288" s="297"/>
      <c r="B288" s="297"/>
      <c r="C288" s="375" t="s">
        <v>686</v>
      </c>
      <c r="D288" s="828" t="str">
        <f>B236</f>
        <v>XX</v>
      </c>
      <c r="E288" s="374" t="s">
        <v>633</v>
      </c>
    </row>
    <row r="289" spans="1:5" x14ac:dyDescent="0.35">
      <c r="A289" s="297"/>
      <c r="B289" s="297"/>
      <c r="C289" s="375" t="s">
        <v>687</v>
      </c>
      <c r="D289" s="379">
        <v>0.16</v>
      </c>
      <c r="E289" s="374" t="s">
        <v>688</v>
      </c>
    </row>
    <row r="290" spans="1:5" ht="29" x14ac:dyDescent="0.35">
      <c r="A290" s="297" t="s">
        <v>689</v>
      </c>
      <c r="B290" s="297"/>
      <c r="C290" s="375" t="s">
        <v>690</v>
      </c>
      <c r="D290" s="379">
        <v>69.849999999999994</v>
      </c>
      <c r="E290" s="374" t="s">
        <v>691</v>
      </c>
    </row>
    <row r="291" spans="1:5" ht="29" x14ac:dyDescent="0.35">
      <c r="A291" s="305" t="s">
        <v>692</v>
      </c>
      <c r="B291" s="297"/>
      <c r="C291" s="375" t="s">
        <v>693</v>
      </c>
      <c r="D291" s="379">
        <v>1.17</v>
      </c>
      <c r="E291" s="374"/>
    </row>
    <row r="292" spans="1:5" x14ac:dyDescent="0.35">
      <c r="A292" s="306" t="s">
        <v>694</v>
      </c>
      <c r="B292" s="297"/>
      <c r="C292" s="540" t="s">
        <v>695</v>
      </c>
      <c r="D292" s="474">
        <v>1.1299999999999999</v>
      </c>
      <c r="E292" s="392"/>
    </row>
    <row r="293" spans="1:5" ht="43.5" x14ac:dyDescent="0.35">
      <c r="A293" s="377"/>
      <c r="B293" s="297"/>
      <c r="C293" s="375" t="s">
        <v>696</v>
      </c>
      <c r="D293" s="379" t="e">
        <f>D281*D283*D285*D286</f>
        <v>#VALUE!</v>
      </c>
      <c r="E293" s="374" t="s">
        <v>697</v>
      </c>
    </row>
    <row r="294" spans="1:5" ht="29" x14ac:dyDescent="0.35">
      <c r="A294" s="831" t="e">
        <f>D283</f>
        <v>#VALUE!</v>
      </c>
      <c r="B294" s="297" t="s">
        <v>681</v>
      </c>
      <c r="C294" s="375" t="s">
        <v>698</v>
      </c>
      <c r="D294" s="473" t="e">
        <f>D282*D284*D285*D286</f>
        <v>#VALUE!</v>
      </c>
      <c r="E294" s="374" t="s">
        <v>699</v>
      </c>
    </row>
    <row r="295" spans="1:5" x14ac:dyDescent="0.35">
      <c r="A295" s="832"/>
      <c r="B295" s="297"/>
      <c r="C295" s="502"/>
      <c r="D295" s="472"/>
      <c r="E295" s="422"/>
    </row>
    <row r="296" spans="1:5" x14ac:dyDescent="0.35">
      <c r="A296" s="831" t="e">
        <f>D293</f>
        <v>#VALUE!</v>
      </c>
      <c r="B296" s="297" t="s">
        <v>699</v>
      </c>
      <c r="C296" s="502"/>
      <c r="D296" s="472"/>
      <c r="E296" s="422"/>
    </row>
    <row r="297" spans="1:5" x14ac:dyDescent="0.35">
      <c r="A297" s="306" t="s">
        <v>694</v>
      </c>
      <c r="B297" s="297"/>
      <c r="C297" s="502"/>
      <c r="D297" s="472"/>
      <c r="E297" s="422"/>
    </row>
    <row r="298" spans="1:5" x14ac:dyDescent="0.35">
      <c r="A298" s="377"/>
      <c r="B298" s="297"/>
      <c r="C298" s="502"/>
      <c r="D298" s="472"/>
      <c r="E298" s="422"/>
    </row>
    <row r="299" spans="1:5" x14ac:dyDescent="0.35">
      <c r="A299" s="833" t="e">
        <f>D284</f>
        <v>#VALUE!</v>
      </c>
      <c r="B299" s="297" t="s">
        <v>681</v>
      </c>
      <c r="C299" s="502"/>
      <c r="D299" s="472"/>
      <c r="E299" s="422"/>
    </row>
    <row r="300" spans="1:5" x14ac:dyDescent="0.35">
      <c r="A300" s="832"/>
      <c r="B300" s="297"/>
      <c r="C300" s="502"/>
      <c r="D300" s="472"/>
      <c r="E300" s="422"/>
    </row>
    <row r="301" spans="1:5" x14ac:dyDescent="0.35">
      <c r="A301" s="831" t="e">
        <f>D294</f>
        <v>#VALUE!</v>
      </c>
      <c r="B301" s="297" t="s">
        <v>699</v>
      </c>
      <c r="C301" s="502"/>
      <c r="D301" s="472"/>
      <c r="E301" s="422"/>
    </row>
    <row r="302" spans="1:5" x14ac:dyDescent="0.35">
      <c r="A302" s="306" t="s">
        <v>432</v>
      </c>
      <c r="B302" s="297"/>
      <c r="C302" s="502"/>
      <c r="D302" s="472"/>
      <c r="E302" s="422"/>
    </row>
    <row r="303" spans="1:5" ht="58" x14ac:dyDescent="0.35">
      <c r="A303" s="305" t="s">
        <v>700</v>
      </c>
      <c r="B303" s="297"/>
      <c r="C303" s="502"/>
      <c r="D303" s="472"/>
      <c r="E303" s="422"/>
    </row>
    <row r="304" spans="1:5" x14ac:dyDescent="0.35">
      <c r="A304" s="297"/>
      <c r="B304" s="297"/>
      <c r="C304" s="502"/>
      <c r="D304" s="472"/>
      <c r="E304" s="422"/>
    </row>
    <row r="305" spans="1:5" ht="58" x14ac:dyDescent="0.35">
      <c r="A305" s="305" t="s">
        <v>895</v>
      </c>
      <c r="B305" s="297"/>
      <c r="C305" s="502"/>
      <c r="D305" s="472"/>
      <c r="E305" s="422"/>
    </row>
    <row r="306" spans="1:5" x14ac:dyDescent="0.35">
      <c r="A306" s="297"/>
      <c r="B306" s="297"/>
      <c r="C306" s="502"/>
      <c r="D306" s="472"/>
      <c r="E306" s="422"/>
    </row>
    <row r="307" spans="1:5" x14ac:dyDescent="0.35">
      <c r="A307" s="297"/>
      <c r="B307" s="297"/>
      <c r="C307" s="502"/>
      <c r="D307" s="472"/>
      <c r="E307" s="422"/>
    </row>
    <row r="308" spans="1:5" x14ac:dyDescent="0.35">
      <c r="A308" s="297"/>
      <c r="B308" s="297"/>
      <c r="C308" s="502"/>
      <c r="D308" s="472"/>
      <c r="E308" s="422"/>
    </row>
    <row r="309" spans="1:5" x14ac:dyDescent="0.35">
      <c r="A309" s="297"/>
      <c r="B309" s="297"/>
      <c r="C309" s="502"/>
      <c r="D309" s="472"/>
      <c r="E309" s="422"/>
    </row>
    <row r="310" spans="1:5" x14ac:dyDescent="0.35">
      <c r="A310" s="297"/>
      <c r="B310" s="297"/>
      <c r="C310" s="502"/>
      <c r="D310" s="472"/>
      <c r="E310" s="422"/>
    </row>
    <row r="311" spans="1:5" x14ac:dyDescent="0.35">
      <c r="A311" s="299"/>
      <c r="B311" s="299"/>
      <c r="C311" s="541"/>
      <c r="D311" s="475"/>
      <c r="E311" s="423"/>
    </row>
    <row r="312" spans="1:5" ht="18.5" x14ac:dyDescent="0.45">
      <c r="A312" s="320" t="s">
        <v>701</v>
      </c>
      <c r="B312" s="299"/>
      <c r="C312" s="541"/>
      <c r="D312" s="475"/>
      <c r="E312" s="423"/>
    </row>
    <row r="313" spans="1:5" ht="15.5" x14ac:dyDescent="0.35">
      <c r="A313" s="319" t="s">
        <v>702</v>
      </c>
      <c r="B313" s="299"/>
      <c r="C313" s="541"/>
      <c r="D313" s="475"/>
      <c r="E313" s="423"/>
    </row>
    <row r="314" spans="1:5" ht="108" customHeight="1" x14ac:dyDescent="0.35">
      <c r="A314" s="300" t="s">
        <v>893</v>
      </c>
      <c r="B314" s="299"/>
      <c r="C314" s="541"/>
      <c r="D314" s="475"/>
      <c r="E314" s="423"/>
    </row>
    <row r="315" spans="1:5" x14ac:dyDescent="0.35">
      <c r="A315" s="299"/>
      <c r="B315" s="299"/>
      <c r="C315" s="541"/>
      <c r="D315" s="475"/>
      <c r="E315" s="423"/>
    </row>
    <row r="316" spans="1:5" ht="83.25" customHeight="1" x14ac:dyDescent="0.35">
      <c r="A316" s="300" t="s">
        <v>891</v>
      </c>
      <c r="B316" s="299"/>
      <c r="C316" s="541"/>
      <c r="D316" s="475"/>
      <c r="E316" s="423"/>
    </row>
    <row r="317" spans="1:5" ht="43.5" x14ac:dyDescent="0.35">
      <c r="A317" s="300" t="s">
        <v>703</v>
      </c>
      <c r="B317" s="423"/>
      <c r="C317" s="397" t="s">
        <v>251</v>
      </c>
      <c r="D317" s="454" t="s">
        <v>252</v>
      </c>
      <c r="E317" s="397" t="s">
        <v>253</v>
      </c>
    </row>
    <row r="318" spans="1:5" x14ac:dyDescent="0.35">
      <c r="A318" s="299"/>
      <c r="B318" s="453"/>
      <c r="C318" s="542" t="s">
        <v>255</v>
      </c>
      <c r="D318" s="476"/>
      <c r="E318" s="292"/>
    </row>
    <row r="319" spans="1:5" x14ac:dyDescent="0.35">
      <c r="A319" s="299"/>
      <c r="B319" s="299"/>
      <c r="C319" s="303" t="s">
        <v>256</v>
      </c>
      <c r="D319" s="487">
        <v>398000</v>
      </c>
      <c r="E319" s="302" t="s">
        <v>257</v>
      </c>
    </row>
    <row r="320" spans="1:5" x14ac:dyDescent="0.35">
      <c r="A320" s="299"/>
      <c r="B320" s="299"/>
      <c r="C320" s="303" t="s">
        <v>256</v>
      </c>
      <c r="D320" s="485">
        <f>((D319*134)/1)/1000000</f>
        <v>53.332000000000001</v>
      </c>
      <c r="E320" s="302" t="s">
        <v>262</v>
      </c>
    </row>
    <row r="321" spans="1:5" ht="29" x14ac:dyDescent="0.35">
      <c r="A321" s="299" t="s">
        <v>704</v>
      </c>
      <c r="B321" s="299"/>
      <c r="C321" s="303" t="s">
        <v>894</v>
      </c>
      <c r="D321" s="486">
        <f>Données!O271</f>
        <v>0</v>
      </c>
      <c r="E321" s="302" t="s">
        <v>266</v>
      </c>
    </row>
    <row r="322" spans="1:5" ht="29" x14ac:dyDescent="0.35">
      <c r="A322" s="299"/>
      <c r="B322" s="299"/>
      <c r="C322" s="303" t="s">
        <v>892</v>
      </c>
      <c r="D322" s="484">
        <f>D321/1000000</f>
        <v>0</v>
      </c>
      <c r="E322" s="302" t="s">
        <v>262</v>
      </c>
    </row>
    <row r="323" spans="1:5" x14ac:dyDescent="0.35">
      <c r="A323" s="299" t="s">
        <v>705</v>
      </c>
      <c r="B323" s="299"/>
      <c r="C323" s="303" t="s">
        <v>269</v>
      </c>
      <c r="D323" s="487">
        <v>15500</v>
      </c>
      <c r="E323" s="302" t="s">
        <v>270</v>
      </c>
    </row>
    <row r="324" spans="1:5" ht="68.25" customHeight="1" x14ac:dyDescent="0.35">
      <c r="A324" s="324" t="s">
        <v>706</v>
      </c>
      <c r="B324" s="299"/>
      <c r="C324" s="303" t="s">
        <v>269</v>
      </c>
      <c r="D324" s="483">
        <f>D323/1000000</f>
        <v>1.55E-2</v>
      </c>
      <c r="E324" s="302" t="s">
        <v>262</v>
      </c>
    </row>
    <row r="325" spans="1:5" ht="43.5" x14ac:dyDescent="0.35">
      <c r="A325" s="300" t="s">
        <v>707</v>
      </c>
      <c r="B325" s="299"/>
      <c r="C325" s="303" t="s">
        <v>272</v>
      </c>
      <c r="D325" s="477">
        <v>0</v>
      </c>
      <c r="E325" s="302" t="s">
        <v>273</v>
      </c>
    </row>
    <row r="326" spans="1:5" x14ac:dyDescent="0.35">
      <c r="A326" s="299"/>
      <c r="B326" s="299"/>
      <c r="C326" s="542" t="s">
        <v>274</v>
      </c>
      <c r="D326" s="476"/>
      <c r="E326" s="292"/>
    </row>
    <row r="327" spans="1:5" ht="29" x14ac:dyDescent="0.35">
      <c r="A327" s="300" t="s">
        <v>708</v>
      </c>
      <c r="B327" s="299"/>
      <c r="C327" s="303" t="s">
        <v>256</v>
      </c>
      <c r="D327" s="488"/>
      <c r="E327" s="221"/>
    </row>
    <row r="328" spans="1:5" x14ac:dyDescent="0.35">
      <c r="A328" s="299" t="s">
        <v>709</v>
      </c>
      <c r="B328" s="299"/>
      <c r="C328" s="303" t="s">
        <v>256</v>
      </c>
      <c r="D328" s="488"/>
      <c r="E328" s="221"/>
    </row>
    <row r="329" spans="1:5" ht="43.5" x14ac:dyDescent="0.35">
      <c r="A329" s="300" t="s">
        <v>710</v>
      </c>
      <c r="B329" s="299"/>
      <c r="C329" s="303" t="s">
        <v>894</v>
      </c>
      <c r="D329" s="486">
        <f>Données!O272</f>
        <v>0</v>
      </c>
      <c r="E329" s="302" t="s">
        <v>266</v>
      </c>
    </row>
    <row r="330" spans="1:5" ht="29" x14ac:dyDescent="0.35">
      <c r="A330" s="299"/>
      <c r="B330" s="299"/>
      <c r="C330" s="303" t="s">
        <v>894</v>
      </c>
      <c r="D330" s="477">
        <f>D329/1000000</f>
        <v>0</v>
      </c>
      <c r="E330" s="302" t="s">
        <v>262</v>
      </c>
    </row>
    <row r="331" spans="1:5" x14ac:dyDescent="0.35">
      <c r="A331" s="299"/>
      <c r="B331" s="299"/>
      <c r="C331" s="303" t="s">
        <v>275</v>
      </c>
      <c r="D331" s="487">
        <v>430000</v>
      </c>
      <c r="E331" s="302" t="s">
        <v>266</v>
      </c>
    </row>
    <row r="332" spans="1:5" x14ac:dyDescent="0.35">
      <c r="A332" s="301" t="s">
        <v>711</v>
      </c>
      <c r="B332" s="299"/>
      <c r="C332" s="303" t="s">
        <v>269</v>
      </c>
      <c r="D332" s="486">
        <f>D331/1000000</f>
        <v>0.43</v>
      </c>
      <c r="E332" s="302" t="s">
        <v>262</v>
      </c>
    </row>
    <row r="333" spans="1:5" x14ac:dyDescent="0.35">
      <c r="A333" s="299" t="s">
        <v>712</v>
      </c>
      <c r="B333" s="299"/>
      <c r="C333" s="303" t="s">
        <v>277</v>
      </c>
      <c r="D333" s="477">
        <f>13000000/27</f>
        <v>481481.48148148146</v>
      </c>
      <c r="E333" s="302" t="s">
        <v>266</v>
      </c>
    </row>
    <row r="334" spans="1:5" x14ac:dyDescent="0.35">
      <c r="A334" s="299" t="s">
        <v>713</v>
      </c>
      <c r="B334" s="299"/>
      <c r="C334" s="303" t="s">
        <v>278</v>
      </c>
      <c r="D334" s="477">
        <f>D333/1000000</f>
        <v>0.48148148148148145</v>
      </c>
      <c r="E334" s="302" t="s">
        <v>262</v>
      </c>
    </row>
    <row r="335" spans="1:5" x14ac:dyDescent="0.35">
      <c r="A335" s="299" t="s">
        <v>714</v>
      </c>
      <c r="B335" s="299"/>
      <c r="C335" s="303"/>
      <c r="D335" s="477"/>
      <c r="E335" s="302"/>
    </row>
    <row r="336" spans="1:5" x14ac:dyDescent="0.35">
      <c r="A336" s="299" t="s">
        <v>715</v>
      </c>
      <c r="B336" s="299"/>
      <c r="C336" s="303" t="s">
        <v>272</v>
      </c>
      <c r="D336" s="477">
        <v>82</v>
      </c>
      <c r="E336" s="302" t="s">
        <v>273</v>
      </c>
    </row>
    <row r="337" spans="1:5" x14ac:dyDescent="0.35">
      <c r="A337" s="299" t="s">
        <v>716</v>
      </c>
      <c r="B337" s="299"/>
      <c r="C337" s="541"/>
      <c r="D337" s="475"/>
      <c r="E337" s="423"/>
    </row>
    <row r="338" spans="1:5" ht="13.5" customHeight="1" x14ac:dyDescent="0.35">
      <c r="A338" s="299" t="s">
        <v>717</v>
      </c>
      <c r="B338" s="299"/>
      <c r="C338" s="541"/>
      <c r="D338" s="475"/>
      <c r="E338" s="423"/>
    </row>
    <row r="339" spans="1:5" x14ac:dyDescent="0.35">
      <c r="A339" s="299"/>
      <c r="B339" s="299"/>
      <c r="C339" s="541"/>
      <c r="D339" s="475"/>
      <c r="E339" s="423"/>
    </row>
    <row r="340" spans="1:5" x14ac:dyDescent="0.35">
      <c r="A340" s="299"/>
      <c r="B340" s="299"/>
      <c r="C340" s="541"/>
      <c r="D340" s="475"/>
      <c r="E340" s="423"/>
    </row>
    <row r="341" spans="1:5" x14ac:dyDescent="0.35">
      <c r="A341" s="299"/>
      <c r="B341" s="299"/>
      <c r="C341" s="541"/>
      <c r="D341" s="475"/>
      <c r="E341" s="423"/>
    </row>
    <row r="342" spans="1:5" x14ac:dyDescent="0.35">
      <c r="A342" s="299"/>
      <c r="B342" s="299"/>
      <c r="C342" s="541"/>
      <c r="D342" s="475"/>
      <c r="E342" s="423"/>
    </row>
    <row r="343" spans="1:5" x14ac:dyDescent="0.35">
      <c r="A343" s="299"/>
      <c r="B343" s="299"/>
      <c r="C343" s="541"/>
      <c r="D343" s="475"/>
      <c r="E343" s="423"/>
    </row>
    <row r="344" spans="1:5" ht="43.5" x14ac:dyDescent="0.35">
      <c r="A344" s="301" t="s">
        <v>718</v>
      </c>
      <c r="B344" s="299"/>
      <c r="C344" s="541" t="s">
        <v>719</v>
      </c>
      <c r="D344" s="475"/>
      <c r="E344" s="423"/>
    </row>
    <row r="345" spans="1:5" x14ac:dyDescent="0.35">
      <c r="A345" s="299" t="s">
        <v>720</v>
      </c>
      <c r="B345" s="299"/>
      <c r="C345" s="541"/>
      <c r="D345" s="475"/>
      <c r="E345" s="423"/>
    </row>
    <row r="346" spans="1:5" x14ac:dyDescent="0.35">
      <c r="A346" s="299" t="s">
        <v>721</v>
      </c>
      <c r="B346" s="299"/>
      <c r="C346" s="541"/>
      <c r="D346" s="475"/>
      <c r="E346" s="423"/>
    </row>
    <row r="347" spans="1:5" x14ac:dyDescent="0.35">
      <c r="A347" s="299" t="s">
        <v>714</v>
      </c>
      <c r="B347" s="299"/>
      <c r="C347" s="541"/>
      <c r="D347" s="475"/>
      <c r="E347" s="423"/>
    </row>
    <row r="348" spans="1:5" x14ac:dyDescent="0.35">
      <c r="A348" s="299" t="s">
        <v>715</v>
      </c>
      <c r="B348" s="299"/>
      <c r="C348" s="541"/>
      <c r="D348" s="475"/>
      <c r="E348" s="423"/>
    </row>
    <row r="349" spans="1:5" x14ac:dyDescent="0.35">
      <c r="A349" s="299" t="s">
        <v>722</v>
      </c>
      <c r="B349" s="299"/>
      <c r="C349" s="541"/>
      <c r="D349" s="475"/>
      <c r="E349" s="423"/>
    </row>
    <row r="350" spans="1:5" x14ac:dyDescent="0.35">
      <c r="A350" s="299" t="s">
        <v>723</v>
      </c>
      <c r="B350" s="299"/>
      <c r="C350" s="541"/>
      <c r="D350" s="475"/>
      <c r="E350" s="423"/>
    </row>
    <row r="351" spans="1:5" x14ac:dyDescent="0.35">
      <c r="A351" s="299" t="s">
        <v>724</v>
      </c>
      <c r="B351" s="299"/>
      <c r="C351" s="541"/>
      <c r="D351" s="475"/>
      <c r="E351" s="423"/>
    </row>
    <row r="352" spans="1:5" x14ac:dyDescent="0.35">
      <c r="A352" s="299"/>
      <c r="B352" s="299"/>
      <c r="C352" s="541"/>
      <c r="D352" s="475"/>
      <c r="E352" s="423"/>
    </row>
    <row r="353" spans="1:5" x14ac:dyDescent="0.35">
      <c r="A353" s="299" t="s">
        <v>725</v>
      </c>
      <c r="B353" s="299"/>
      <c r="C353" s="541"/>
      <c r="D353" s="475"/>
      <c r="E353" s="423"/>
    </row>
    <row r="354" spans="1:5" x14ac:dyDescent="0.35">
      <c r="A354" s="299"/>
      <c r="B354" s="299"/>
      <c r="C354" s="541"/>
      <c r="D354" s="475"/>
      <c r="E354" s="423"/>
    </row>
    <row r="355" spans="1:5" x14ac:dyDescent="0.35">
      <c r="A355" s="299"/>
      <c r="B355" s="299"/>
      <c r="C355" s="541"/>
      <c r="D355" s="475"/>
      <c r="E355" s="423"/>
    </row>
    <row r="356" spans="1:5" x14ac:dyDescent="0.35">
      <c r="A356" s="299"/>
      <c r="B356" s="299"/>
      <c r="C356" s="541"/>
      <c r="D356" s="475"/>
      <c r="E356" s="423"/>
    </row>
    <row r="357" spans="1:5" x14ac:dyDescent="0.35">
      <c r="A357" s="299"/>
      <c r="B357" s="299"/>
      <c r="C357" s="541"/>
      <c r="D357" s="475"/>
      <c r="E357" s="423"/>
    </row>
    <row r="358" spans="1:5" x14ac:dyDescent="0.35">
      <c r="A358" s="299"/>
      <c r="B358" s="299"/>
      <c r="C358" s="541"/>
      <c r="D358" s="475"/>
      <c r="E358" s="423"/>
    </row>
    <row r="359" spans="1:5" x14ac:dyDescent="0.35">
      <c r="A359" s="299"/>
      <c r="B359" s="299"/>
      <c r="C359" s="541"/>
      <c r="D359" s="475"/>
      <c r="E359" s="423"/>
    </row>
    <row r="360" spans="1:5" x14ac:dyDescent="0.35">
      <c r="A360" s="299"/>
      <c r="B360" s="299"/>
      <c r="C360" s="541"/>
      <c r="D360" s="475"/>
      <c r="E360" s="423"/>
    </row>
    <row r="361" spans="1:5" x14ac:dyDescent="0.35">
      <c r="A361" s="299"/>
      <c r="B361" s="299"/>
      <c r="C361" s="541"/>
      <c r="D361" s="475"/>
      <c r="E361" s="423"/>
    </row>
    <row r="362" spans="1:5" x14ac:dyDescent="0.35">
      <c r="A362" s="299"/>
      <c r="B362" s="299"/>
      <c r="C362" s="541"/>
      <c r="D362" s="475"/>
      <c r="E362" s="423"/>
    </row>
    <row r="363" spans="1:5" x14ac:dyDescent="0.35">
      <c r="A363" s="299"/>
      <c r="B363" s="299"/>
      <c r="C363" s="541"/>
      <c r="D363" s="475"/>
      <c r="E363" s="423"/>
    </row>
    <row r="364" spans="1:5" x14ac:dyDescent="0.35">
      <c r="A364" s="299"/>
      <c r="B364" s="299"/>
      <c r="C364" s="541"/>
      <c r="D364" s="475"/>
      <c r="E364" s="423"/>
    </row>
    <row r="365" spans="1:5" x14ac:dyDescent="0.35">
      <c r="A365" s="299"/>
      <c r="B365" s="299"/>
      <c r="C365" s="541"/>
      <c r="D365" s="475"/>
      <c r="E365" s="423"/>
    </row>
    <row r="366" spans="1:5" x14ac:dyDescent="0.35">
      <c r="A366" s="299"/>
      <c r="B366" s="299"/>
      <c r="C366" s="541"/>
      <c r="D366" s="475"/>
      <c r="E366" s="423"/>
    </row>
    <row r="367" spans="1:5" x14ac:dyDescent="0.35">
      <c r="A367" s="299"/>
      <c r="B367" s="299"/>
      <c r="C367" s="541"/>
      <c r="D367" s="475"/>
      <c r="E367" s="423"/>
    </row>
    <row r="368" spans="1:5" x14ac:dyDescent="0.35">
      <c r="A368" s="299"/>
      <c r="B368" s="299"/>
      <c r="C368" s="541"/>
      <c r="D368" s="475"/>
      <c r="E368" s="423"/>
    </row>
    <row r="369" spans="1:5" x14ac:dyDescent="0.35">
      <c r="A369" s="299"/>
      <c r="B369" s="299"/>
      <c r="C369" s="541"/>
      <c r="D369" s="475"/>
      <c r="E369" s="423"/>
    </row>
    <row r="370" spans="1:5" x14ac:dyDescent="0.35">
      <c r="A370" s="299"/>
      <c r="B370" s="299"/>
      <c r="C370" s="541"/>
      <c r="D370" s="475"/>
      <c r="E370" s="423"/>
    </row>
    <row r="371" spans="1:5" x14ac:dyDescent="0.35">
      <c r="A371" s="299"/>
      <c r="B371" s="299"/>
      <c r="C371" s="541"/>
      <c r="D371" s="475"/>
      <c r="E371" s="423"/>
    </row>
    <row r="372" spans="1:5" x14ac:dyDescent="0.35">
      <c r="A372" s="299"/>
      <c r="B372" s="299"/>
      <c r="C372" s="541"/>
      <c r="D372" s="475"/>
      <c r="E372" s="423"/>
    </row>
    <row r="373" spans="1:5" x14ac:dyDescent="0.35">
      <c r="A373" s="299"/>
      <c r="B373" s="299"/>
      <c r="C373" s="541"/>
      <c r="D373" s="475"/>
      <c r="E373" s="423"/>
    </row>
    <row r="374" spans="1:5" x14ac:dyDescent="0.35">
      <c r="A374" s="299"/>
      <c r="B374" s="299"/>
      <c r="C374" s="541"/>
      <c r="D374" s="475"/>
      <c r="E374" s="423"/>
    </row>
    <row r="375" spans="1:5" x14ac:dyDescent="0.35">
      <c r="A375" s="299"/>
      <c r="B375" s="299"/>
      <c r="C375" s="541"/>
      <c r="D375" s="475"/>
      <c r="E375" s="423"/>
    </row>
    <row r="376" spans="1:5" x14ac:dyDescent="0.35">
      <c r="A376" s="299"/>
      <c r="B376" s="299"/>
      <c r="C376" s="541"/>
      <c r="D376" s="475"/>
      <c r="E376" s="423"/>
    </row>
    <row r="377" spans="1:5" x14ac:dyDescent="0.35">
      <c r="A377" s="299"/>
      <c r="B377" s="299"/>
      <c r="C377" s="541"/>
      <c r="D377" s="475"/>
      <c r="E377" s="423"/>
    </row>
    <row r="378" spans="1:5" x14ac:dyDescent="0.35">
      <c r="A378" s="299"/>
      <c r="B378" s="299"/>
      <c r="C378" s="541"/>
      <c r="D378" s="475"/>
      <c r="E378" s="423"/>
    </row>
    <row r="379" spans="1:5" x14ac:dyDescent="0.35">
      <c r="A379" s="299"/>
      <c r="B379" s="299"/>
      <c r="C379" s="541"/>
      <c r="D379" s="475"/>
      <c r="E379" s="423"/>
    </row>
    <row r="380" spans="1:5" x14ac:dyDescent="0.35">
      <c r="A380" s="299"/>
      <c r="B380" s="299"/>
      <c r="C380" s="541"/>
      <c r="D380" s="475"/>
      <c r="E380" s="423"/>
    </row>
    <row r="381" spans="1:5" x14ac:dyDescent="0.35">
      <c r="A381" s="299"/>
      <c r="B381" s="299"/>
      <c r="C381" s="541"/>
      <c r="D381" s="475"/>
      <c r="E381" s="423"/>
    </row>
    <row r="382" spans="1:5" x14ac:dyDescent="0.35">
      <c r="A382" s="299"/>
      <c r="B382" s="299"/>
      <c r="C382" s="541"/>
      <c r="D382" s="475"/>
      <c r="E382" s="423"/>
    </row>
    <row r="383" spans="1:5" x14ac:dyDescent="0.35">
      <c r="A383" s="299"/>
      <c r="B383" s="299"/>
      <c r="C383" s="541"/>
      <c r="D383" s="475"/>
      <c r="E383" s="423"/>
    </row>
    <row r="384" spans="1:5" x14ac:dyDescent="0.35">
      <c r="A384" s="299"/>
      <c r="B384" s="299"/>
      <c r="C384" s="541"/>
      <c r="D384" s="475"/>
      <c r="E384" s="423"/>
    </row>
    <row r="385" spans="1:5" x14ac:dyDescent="0.35">
      <c r="A385" s="299"/>
      <c r="B385" s="299"/>
      <c r="C385" s="541"/>
      <c r="D385" s="475"/>
      <c r="E385" s="423"/>
    </row>
    <row r="386" spans="1:5" x14ac:dyDescent="0.35">
      <c r="A386" s="299"/>
      <c r="B386" s="299"/>
      <c r="C386" s="541"/>
      <c r="D386" s="475"/>
      <c r="E386" s="423"/>
    </row>
    <row r="387" spans="1:5" x14ac:dyDescent="0.35">
      <c r="A387" s="299"/>
      <c r="B387" s="299"/>
      <c r="C387" s="541"/>
      <c r="D387" s="475"/>
      <c r="E387" s="423"/>
    </row>
    <row r="388" spans="1:5" x14ac:dyDescent="0.35">
      <c r="A388" s="299"/>
      <c r="B388" s="299"/>
      <c r="C388" s="541"/>
      <c r="D388" s="475"/>
      <c r="E388" s="423"/>
    </row>
    <row r="389" spans="1:5" x14ac:dyDescent="0.35">
      <c r="A389" s="299"/>
      <c r="B389" s="299"/>
      <c r="C389" s="541"/>
      <c r="D389" s="475"/>
      <c r="E389" s="423"/>
    </row>
    <row r="390" spans="1:5" x14ac:dyDescent="0.35">
      <c r="A390" s="299"/>
      <c r="B390" s="299"/>
      <c r="C390" s="541"/>
      <c r="D390" s="475"/>
      <c r="E390" s="423"/>
    </row>
    <row r="391" spans="1:5" x14ac:dyDescent="0.35">
      <c r="A391" s="299"/>
      <c r="B391" s="299"/>
      <c r="C391" s="541"/>
      <c r="D391" s="475"/>
      <c r="E391" s="423"/>
    </row>
    <row r="392" spans="1:5" x14ac:dyDescent="0.35">
      <c r="A392" s="299"/>
      <c r="B392" s="299"/>
      <c r="C392" s="541"/>
      <c r="D392" s="475"/>
      <c r="E392" s="423"/>
    </row>
    <row r="393" spans="1:5" x14ac:dyDescent="0.35">
      <c r="A393" s="301" t="s">
        <v>726</v>
      </c>
      <c r="B393" s="299"/>
      <c r="C393" s="541"/>
      <c r="D393" s="475"/>
      <c r="E393" s="423"/>
    </row>
    <row r="394" spans="1:5" ht="58" x14ac:dyDescent="0.35">
      <c r="A394" s="305" t="s">
        <v>727</v>
      </c>
      <c r="B394" s="299"/>
      <c r="C394" s="541"/>
      <c r="D394" s="475"/>
      <c r="E394" s="423"/>
    </row>
    <row r="395" spans="1:5" x14ac:dyDescent="0.35">
      <c r="A395" s="297"/>
      <c r="B395" s="299"/>
      <c r="C395" s="541"/>
      <c r="D395" s="475"/>
      <c r="E395" s="423"/>
    </row>
    <row r="396" spans="1:5" ht="58" x14ac:dyDescent="0.35">
      <c r="A396" s="305" t="s">
        <v>896</v>
      </c>
      <c r="B396" s="299"/>
      <c r="C396" s="541"/>
      <c r="D396" s="475"/>
      <c r="E396" s="423"/>
    </row>
    <row r="397" spans="1:5" x14ac:dyDescent="0.35">
      <c r="A397" s="299"/>
      <c r="B397" s="299"/>
      <c r="C397" s="541"/>
      <c r="D397" s="475"/>
      <c r="E397" s="423"/>
    </row>
    <row r="398" spans="1:5" ht="29" x14ac:dyDescent="0.35">
      <c r="A398" s="300" t="s">
        <v>728</v>
      </c>
      <c r="B398" s="299"/>
      <c r="C398" s="541"/>
      <c r="D398" s="475"/>
      <c r="E398" s="423"/>
    </row>
    <row r="399" spans="1:5" x14ac:dyDescent="0.35">
      <c r="A399" s="299"/>
      <c r="B399" s="299"/>
      <c r="C399" s="541"/>
      <c r="D399" s="475"/>
      <c r="E399" s="423"/>
    </row>
    <row r="400" spans="1:5" ht="43.5" x14ac:dyDescent="0.35">
      <c r="A400" s="300" t="s">
        <v>729</v>
      </c>
      <c r="B400" s="299"/>
      <c r="C400" s="541"/>
      <c r="D400" s="475"/>
      <c r="E400" s="423"/>
    </row>
    <row r="401" spans="1:6" x14ac:dyDescent="0.35">
      <c r="A401" s="299"/>
      <c r="B401" s="299"/>
      <c r="C401" s="541"/>
      <c r="D401" s="475"/>
      <c r="E401" s="423"/>
    </row>
    <row r="402" spans="1:6" ht="43.5" x14ac:dyDescent="0.35">
      <c r="A402" s="300" t="s">
        <v>730</v>
      </c>
      <c r="B402" s="299"/>
      <c r="C402" s="541"/>
      <c r="D402" s="475"/>
      <c r="E402" s="423"/>
    </row>
    <row r="403" spans="1:6" x14ac:dyDescent="0.35">
      <c r="A403" s="299"/>
      <c r="B403" s="299"/>
      <c r="C403" s="541"/>
      <c r="D403" s="475"/>
      <c r="E403" s="423"/>
    </row>
    <row r="404" spans="1:6" ht="43.5" x14ac:dyDescent="0.35">
      <c r="A404" s="300" t="s">
        <v>731</v>
      </c>
      <c r="B404" s="299"/>
      <c r="C404" s="541"/>
      <c r="D404" s="475"/>
      <c r="E404" s="423"/>
    </row>
    <row r="405" spans="1:6" ht="29" x14ac:dyDescent="0.35">
      <c r="A405" s="300" t="s">
        <v>732</v>
      </c>
      <c r="B405" s="299"/>
      <c r="C405" s="541"/>
      <c r="D405" s="475"/>
      <c r="E405" s="423"/>
    </row>
    <row r="406" spans="1:6" x14ac:dyDescent="0.35">
      <c r="A406" s="300"/>
      <c r="B406" s="299"/>
      <c r="C406" s="541"/>
      <c r="D406" s="475"/>
      <c r="E406" s="423"/>
    </row>
    <row r="407" spans="1:6" ht="29" x14ac:dyDescent="0.35">
      <c r="A407" s="300" t="s">
        <v>733</v>
      </c>
      <c r="B407" s="299"/>
      <c r="C407" s="541"/>
      <c r="D407" s="475"/>
      <c r="E407" s="423"/>
    </row>
    <row r="408" spans="1:6" ht="69.75" customHeight="1" x14ac:dyDescent="0.35">
      <c r="A408" s="300" t="s">
        <v>734</v>
      </c>
      <c r="B408" s="299"/>
      <c r="C408" s="541"/>
      <c r="D408" s="475"/>
      <c r="E408" s="423"/>
    </row>
    <row r="409" spans="1:6" ht="43.5" x14ac:dyDescent="0.35">
      <c r="A409" s="300" t="s">
        <v>735</v>
      </c>
      <c r="B409" s="299"/>
      <c r="C409" s="541"/>
      <c r="D409" s="475"/>
      <c r="E409" s="423"/>
    </row>
    <row r="410" spans="1:6" x14ac:dyDescent="0.35">
      <c r="A410" s="299"/>
      <c r="B410" s="299"/>
      <c r="C410" s="541"/>
      <c r="D410" s="475"/>
      <c r="E410" s="423"/>
    </row>
    <row r="411" spans="1:6" x14ac:dyDescent="0.35">
      <c r="A411" s="304"/>
      <c r="B411" s="304"/>
      <c r="C411" s="543"/>
      <c r="D411" s="478"/>
      <c r="E411" s="414"/>
      <c r="F411" s="304"/>
    </row>
    <row r="412" spans="1:6" ht="18.5" x14ac:dyDescent="0.45">
      <c r="A412" s="317" t="s">
        <v>80</v>
      </c>
      <c r="B412" s="304"/>
      <c r="C412" s="543"/>
      <c r="D412" s="478"/>
      <c r="E412" s="414"/>
      <c r="F412" s="304"/>
    </row>
    <row r="413" spans="1:6" ht="15.5" x14ac:dyDescent="0.35">
      <c r="A413" s="326" t="s">
        <v>702</v>
      </c>
      <c r="B413" s="304"/>
      <c r="C413" s="543"/>
      <c r="D413" s="478"/>
      <c r="E413" s="414"/>
      <c r="F413" s="304"/>
    </row>
    <row r="414" spans="1:6" ht="43.5" x14ac:dyDescent="0.35">
      <c r="A414" s="318" t="s">
        <v>897</v>
      </c>
      <c r="B414" s="304"/>
      <c r="C414" s="543"/>
      <c r="D414" s="478"/>
      <c r="E414" s="414"/>
      <c r="F414" s="304"/>
    </row>
    <row r="415" spans="1:6" ht="29" x14ac:dyDescent="0.35">
      <c r="A415" s="318" t="s">
        <v>736</v>
      </c>
      <c r="B415" s="304"/>
      <c r="C415" s="543"/>
      <c r="D415" s="478"/>
      <c r="E415" s="414"/>
      <c r="F415" s="304"/>
    </row>
    <row r="416" spans="1:6" ht="43.5" x14ac:dyDescent="0.35">
      <c r="A416" s="318" t="s">
        <v>898</v>
      </c>
      <c r="B416" s="304"/>
      <c r="C416" s="543"/>
      <c r="D416" s="478"/>
      <c r="E416" s="414"/>
      <c r="F416" s="304"/>
    </row>
    <row r="417" spans="1:6" x14ac:dyDescent="0.35">
      <c r="A417" s="304"/>
      <c r="B417" s="304"/>
      <c r="C417" s="543"/>
      <c r="D417" s="478"/>
      <c r="E417" s="414"/>
      <c r="F417" s="304"/>
    </row>
    <row r="418" spans="1:6" x14ac:dyDescent="0.35">
      <c r="A418" s="304"/>
      <c r="B418" s="304"/>
      <c r="C418" s="543"/>
      <c r="D418" s="478"/>
      <c r="E418" s="414"/>
      <c r="F418" s="304"/>
    </row>
    <row r="419" spans="1:6" x14ac:dyDescent="0.35">
      <c r="A419" s="304"/>
      <c r="B419" s="304"/>
      <c r="C419" s="543"/>
      <c r="D419" s="478"/>
      <c r="E419" s="414"/>
      <c r="F419" s="304"/>
    </row>
    <row r="420" spans="1:6" x14ac:dyDescent="0.35">
      <c r="A420" s="304"/>
      <c r="B420" s="304"/>
      <c r="C420" s="543"/>
      <c r="D420" s="478"/>
      <c r="E420" s="414"/>
      <c r="F420" s="304"/>
    </row>
    <row r="421" spans="1:6" x14ac:dyDescent="0.35">
      <c r="A421" s="304"/>
      <c r="B421" s="304"/>
      <c r="C421" s="543"/>
      <c r="D421" s="478"/>
      <c r="E421" s="414"/>
      <c r="F421" s="304"/>
    </row>
    <row r="422" spans="1:6" x14ac:dyDescent="0.35">
      <c r="A422" s="304"/>
      <c r="B422" s="304"/>
      <c r="C422" s="543"/>
      <c r="D422" s="478"/>
      <c r="E422" s="414"/>
      <c r="F422" s="304"/>
    </row>
    <row r="423" spans="1:6" x14ac:dyDescent="0.35">
      <c r="A423" s="304"/>
      <c r="B423" s="304"/>
      <c r="C423" s="543"/>
      <c r="D423" s="478"/>
      <c r="E423" s="414"/>
      <c r="F423" s="304"/>
    </row>
    <row r="424" spans="1:6" ht="78.75" customHeight="1" x14ac:dyDescent="0.35">
      <c r="A424" s="304" t="s">
        <v>737</v>
      </c>
      <c r="B424" s="304"/>
      <c r="C424" s="543"/>
      <c r="D424" s="478"/>
      <c r="E424" s="414"/>
      <c r="F424" s="304"/>
    </row>
    <row r="425" spans="1:6" x14ac:dyDescent="0.35">
      <c r="A425" s="304"/>
      <c r="B425" s="304"/>
      <c r="C425" s="543"/>
      <c r="D425" s="478"/>
      <c r="E425" s="414"/>
      <c r="F425" s="304"/>
    </row>
    <row r="426" spans="1:6" x14ac:dyDescent="0.35">
      <c r="A426" s="304"/>
      <c r="B426" s="304"/>
      <c r="C426" s="543"/>
      <c r="D426" s="478"/>
      <c r="E426" s="414"/>
      <c r="F426" s="304"/>
    </row>
    <row r="427" spans="1:6" x14ac:dyDescent="0.35">
      <c r="A427" s="304"/>
      <c r="B427" s="304"/>
      <c r="C427" s="543"/>
      <c r="D427" s="478"/>
      <c r="E427" s="414"/>
      <c r="F427" s="304"/>
    </row>
    <row r="428" spans="1:6" x14ac:dyDescent="0.35">
      <c r="A428" s="304"/>
      <c r="B428" s="304"/>
      <c r="C428" s="543"/>
      <c r="D428" s="478"/>
      <c r="E428" s="414"/>
      <c r="F428" s="304"/>
    </row>
    <row r="429" spans="1:6" x14ac:dyDescent="0.35">
      <c r="A429" s="304"/>
      <c r="B429" s="304"/>
      <c r="C429" s="543"/>
      <c r="D429" s="478"/>
      <c r="E429" s="414"/>
      <c r="F429" s="304"/>
    </row>
    <row r="430" spans="1:6" x14ac:dyDescent="0.35">
      <c r="A430" s="304"/>
      <c r="B430" s="304"/>
      <c r="C430" s="543"/>
      <c r="D430" s="478"/>
      <c r="E430" s="414"/>
      <c r="F430" s="304"/>
    </row>
    <row r="431" spans="1:6" x14ac:dyDescent="0.35">
      <c r="A431" s="304"/>
      <c r="B431" s="304"/>
      <c r="C431" s="543"/>
      <c r="D431" s="478"/>
      <c r="E431" s="414"/>
      <c r="F431" s="304"/>
    </row>
    <row r="432" spans="1:6" x14ac:dyDescent="0.35">
      <c r="A432" s="304"/>
      <c r="B432" s="304"/>
      <c r="C432" s="543"/>
      <c r="D432" s="478"/>
      <c r="E432" s="414"/>
      <c r="F432" s="304"/>
    </row>
    <row r="433" spans="1:6" x14ac:dyDescent="0.35">
      <c r="A433" s="304"/>
      <c r="B433" s="304"/>
      <c r="C433" s="543"/>
      <c r="D433" s="478"/>
      <c r="E433" s="414"/>
      <c r="F433" s="304"/>
    </row>
    <row r="434" spans="1:6" x14ac:dyDescent="0.35">
      <c r="A434" s="304"/>
      <c r="B434" s="304"/>
      <c r="C434" s="543"/>
      <c r="D434" s="478"/>
      <c r="E434" s="414"/>
      <c r="F434" s="304"/>
    </row>
    <row r="435" spans="1:6" x14ac:dyDescent="0.35">
      <c r="A435" s="304"/>
      <c r="B435" s="304"/>
      <c r="C435" s="543"/>
      <c r="D435" s="478"/>
      <c r="E435" s="414"/>
      <c r="F435" s="304"/>
    </row>
    <row r="436" spans="1:6" x14ac:dyDescent="0.35">
      <c r="A436" s="304"/>
      <c r="B436" s="304"/>
      <c r="C436" s="543"/>
      <c r="D436" s="478"/>
      <c r="E436" s="414"/>
      <c r="F436" s="304"/>
    </row>
    <row r="437" spans="1:6" x14ac:dyDescent="0.35">
      <c r="A437" s="304"/>
      <c r="B437" s="304"/>
      <c r="C437" s="543"/>
      <c r="D437" s="478"/>
      <c r="E437" s="414"/>
      <c r="F437" s="304"/>
    </row>
    <row r="438" spans="1:6" x14ac:dyDescent="0.35">
      <c r="A438" s="304" t="s">
        <v>738</v>
      </c>
      <c r="B438" s="304"/>
      <c r="C438" s="543"/>
      <c r="D438" s="478"/>
      <c r="E438" s="414"/>
      <c r="F438" s="304"/>
    </row>
    <row r="439" spans="1:6" x14ac:dyDescent="0.35">
      <c r="A439" s="304"/>
      <c r="B439" s="304"/>
      <c r="C439" s="543"/>
      <c r="D439" s="478"/>
      <c r="E439" s="414"/>
      <c r="F439" s="304"/>
    </row>
    <row r="440" spans="1:6" x14ac:dyDescent="0.35">
      <c r="A440" s="304"/>
      <c r="B440" s="304"/>
      <c r="C440" s="543"/>
      <c r="D440" s="478"/>
      <c r="E440" s="414"/>
      <c r="F440" s="304"/>
    </row>
    <row r="441" spans="1:6" x14ac:dyDescent="0.35">
      <c r="A441" s="331" t="s">
        <v>739</v>
      </c>
      <c r="B441" s="331"/>
      <c r="C441" s="414"/>
      <c r="D441" s="478"/>
      <c r="E441" s="414"/>
      <c r="F441" s="304"/>
    </row>
    <row r="442" spans="1:6" ht="18.5" x14ac:dyDescent="0.45">
      <c r="A442" s="317" t="s">
        <v>740</v>
      </c>
      <c r="B442" s="304"/>
      <c r="C442" s="543"/>
      <c r="D442" s="478"/>
      <c r="E442" s="414"/>
      <c r="F442" s="304"/>
    </row>
    <row r="443" spans="1:6" x14ac:dyDescent="0.35">
      <c r="A443" s="304" t="s">
        <v>900</v>
      </c>
      <c r="B443" s="304"/>
      <c r="C443" s="543"/>
      <c r="D443" s="478"/>
      <c r="E443" s="414"/>
      <c r="F443" s="304"/>
    </row>
    <row r="444" spans="1:6" x14ac:dyDescent="0.35">
      <c r="A444" s="304" t="s">
        <v>901</v>
      </c>
      <c r="B444" s="304"/>
      <c r="C444" s="543"/>
      <c r="D444" s="402" t="s">
        <v>251</v>
      </c>
      <c r="E444" s="403" t="s">
        <v>252</v>
      </c>
      <c r="F444" s="402" t="s">
        <v>253</v>
      </c>
    </row>
    <row r="445" spans="1:6" ht="29" x14ac:dyDescent="0.35">
      <c r="A445" s="318" t="s">
        <v>741</v>
      </c>
      <c r="B445" s="304"/>
      <c r="C445" s="543"/>
      <c r="D445" s="479" t="s">
        <v>742</v>
      </c>
      <c r="E445" s="404"/>
      <c r="F445" s="407" t="s">
        <v>743</v>
      </c>
    </row>
    <row r="446" spans="1:6" ht="29" x14ac:dyDescent="0.35">
      <c r="A446" s="318" t="s">
        <v>899</v>
      </c>
      <c r="B446" s="304"/>
      <c r="C446" s="543"/>
      <c r="D446" s="479" t="s">
        <v>744</v>
      </c>
      <c r="E446" s="404"/>
      <c r="F446" s="407" t="s">
        <v>745</v>
      </c>
    </row>
    <row r="447" spans="1:6" x14ac:dyDescent="0.35">
      <c r="A447" s="318" t="s">
        <v>746</v>
      </c>
      <c r="B447" s="304"/>
      <c r="C447" s="543"/>
      <c r="D447" s="479" t="s">
        <v>747</v>
      </c>
      <c r="E447" s="405"/>
      <c r="F447" s="407" t="s">
        <v>748</v>
      </c>
    </row>
    <row r="448" spans="1:6" ht="18.5" x14ac:dyDescent="0.45">
      <c r="A448" s="317" t="s">
        <v>749</v>
      </c>
      <c r="B448" s="304"/>
      <c r="C448" s="543"/>
      <c r="D448" s="479" t="s">
        <v>750</v>
      </c>
      <c r="E448" s="405">
        <v>142.19999999999999</v>
      </c>
      <c r="F448" s="406" t="s">
        <v>751</v>
      </c>
    </row>
    <row r="449" spans="1:6" x14ac:dyDescent="0.35">
      <c r="A449" s="304" t="s">
        <v>752</v>
      </c>
      <c r="B449" s="304"/>
      <c r="C449" s="543"/>
      <c r="D449" s="479" t="s">
        <v>753</v>
      </c>
      <c r="E449" s="405">
        <v>120.3</v>
      </c>
      <c r="F449" s="406" t="s">
        <v>751</v>
      </c>
    </row>
    <row r="450" spans="1:6" x14ac:dyDescent="0.35">
      <c r="A450" s="304"/>
      <c r="B450" s="304"/>
      <c r="C450" s="543"/>
      <c r="D450" s="479" t="s">
        <v>754</v>
      </c>
      <c r="E450" s="405">
        <v>8</v>
      </c>
      <c r="F450" s="406" t="s">
        <v>751</v>
      </c>
    </row>
    <row r="451" spans="1:6" x14ac:dyDescent="0.35">
      <c r="A451" s="304"/>
      <c r="B451" s="304"/>
      <c r="C451" s="543"/>
      <c r="D451" s="479" t="s">
        <v>755</v>
      </c>
      <c r="E451" s="405">
        <v>1E-3</v>
      </c>
      <c r="F451" s="401"/>
    </row>
    <row r="452" spans="1:6" ht="29" x14ac:dyDescent="0.35">
      <c r="A452" s="304"/>
      <c r="B452" s="304"/>
      <c r="C452" s="543"/>
      <c r="D452" s="480" t="s">
        <v>756</v>
      </c>
      <c r="E452" s="405">
        <f>E445*E448*E451</f>
        <v>0</v>
      </c>
      <c r="F452" s="406" t="s">
        <v>757</v>
      </c>
    </row>
    <row r="453" spans="1:6" ht="29" x14ac:dyDescent="0.35">
      <c r="A453" s="304"/>
      <c r="B453" s="304"/>
      <c r="C453" s="543"/>
      <c r="D453" s="480" t="s">
        <v>758</v>
      </c>
      <c r="E453" s="405">
        <f>E446*E449*E451</f>
        <v>0</v>
      </c>
      <c r="F453" s="406" t="s">
        <v>757</v>
      </c>
    </row>
    <row r="454" spans="1:6" ht="29" x14ac:dyDescent="0.35">
      <c r="A454" s="304"/>
      <c r="B454" s="304"/>
      <c r="C454" s="543"/>
      <c r="D454" s="480" t="s">
        <v>759</v>
      </c>
      <c r="E454" s="405">
        <f>E447*E450*E451</f>
        <v>0</v>
      </c>
      <c r="F454" s="406" t="s">
        <v>757</v>
      </c>
    </row>
    <row r="455" spans="1:6" x14ac:dyDescent="0.35">
      <c r="A455" s="304"/>
      <c r="B455" s="304"/>
      <c r="C455" s="543"/>
      <c r="D455" s="478"/>
      <c r="E455" s="414"/>
      <c r="F455" s="304"/>
    </row>
    <row r="456" spans="1:6" x14ac:dyDescent="0.35">
      <c r="A456" s="304"/>
      <c r="B456" s="304"/>
      <c r="C456" s="543"/>
      <c r="D456" s="478"/>
      <c r="E456" s="414"/>
      <c r="F456" s="304"/>
    </row>
    <row r="457" spans="1:6" x14ac:dyDescent="0.35">
      <c r="A457" s="304"/>
      <c r="B457" s="304"/>
      <c r="C457" s="543"/>
      <c r="D457" s="478"/>
      <c r="E457" s="414"/>
      <c r="F457" s="304"/>
    </row>
    <row r="458" spans="1:6" x14ac:dyDescent="0.35">
      <c r="A458" s="304"/>
      <c r="B458" s="304"/>
      <c r="C458" s="543"/>
      <c r="D458" s="478"/>
      <c r="E458" s="414"/>
      <c r="F458" s="304"/>
    </row>
    <row r="459" spans="1:6" x14ac:dyDescent="0.35">
      <c r="A459" s="304"/>
      <c r="B459" s="304" t="s">
        <v>689</v>
      </c>
      <c r="C459" s="543"/>
      <c r="D459" s="478"/>
      <c r="E459" s="414"/>
      <c r="F459" s="304"/>
    </row>
    <row r="460" spans="1:6" x14ac:dyDescent="0.35">
      <c r="A460" s="304"/>
      <c r="B460" s="304"/>
      <c r="C460" s="543"/>
      <c r="D460" s="478"/>
      <c r="E460" s="414"/>
      <c r="F460" s="304"/>
    </row>
    <row r="461" spans="1:6" x14ac:dyDescent="0.35">
      <c r="A461" s="410" t="s">
        <v>760</v>
      </c>
      <c r="B461" s="304"/>
      <c r="C461" s="543"/>
      <c r="D461" s="478"/>
      <c r="E461" s="414"/>
      <c r="F461" s="304"/>
    </row>
    <row r="462" spans="1:6" x14ac:dyDescent="0.35">
      <c r="A462" s="304"/>
      <c r="B462" s="304"/>
      <c r="C462" s="543"/>
      <c r="D462" s="478"/>
      <c r="E462" s="414"/>
      <c r="F462" s="304"/>
    </row>
    <row r="463" spans="1:6" x14ac:dyDescent="0.35">
      <c r="A463" s="304"/>
      <c r="B463" s="304"/>
      <c r="C463" s="543"/>
      <c r="D463" s="478"/>
      <c r="E463" s="414"/>
      <c r="F463" s="304"/>
    </row>
    <row r="464" spans="1:6" x14ac:dyDescent="0.35">
      <c r="A464" s="304"/>
      <c r="B464" s="304"/>
      <c r="C464" s="543"/>
      <c r="D464" s="478"/>
      <c r="E464" s="414"/>
      <c r="F464" s="304"/>
    </row>
    <row r="465" spans="1:6" x14ac:dyDescent="0.35">
      <c r="A465" s="409" t="s">
        <v>902</v>
      </c>
      <c r="B465" s="410">
        <f>E452</f>
        <v>0</v>
      </c>
      <c r="C465" s="543" t="s">
        <v>761</v>
      </c>
      <c r="D465" s="478"/>
      <c r="E465" s="414"/>
      <c r="F465" s="304"/>
    </row>
    <row r="466" spans="1:6" x14ac:dyDescent="0.35">
      <c r="A466" s="409"/>
      <c r="B466" s="410"/>
      <c r="C466" s="543"/>
      <c r="D466" s="478"/>
      <c r="E466" s="414"/>
      <c r="F466" s="304"/>
    </row>
    <row r="467" spans="1:6" x14ac:dyDescent="0.35">
      <c r="A467" s="409" t="s">
        <v>903</v>
      </c>
      <c r="B467" s="410">
        <f>E453</f>
        <v>0</v>
      </c>
      <c r="C467" s="543" t="s">
        <v>761</v>
      </c>
      <c r="D467" s="478"/>
      <c r="E467" s="414"/>
      <c r="F467" s="304"/>
    </row>
    <row r="468" spans="1:6" x14ac:dyDescent="0.35">
      <c r="A468" s="304"/>
      <c r="B468" s="304"/>
      <c r="C468" s="543"/>
      <c r="D468" s="478"/>
      <c r="E468" s="414"/>
      <c r="F468" s="304"/>
    </row>
    <row r="469" spans="1:6" x14ac:dyDescent="0.35">
      <c r="A469" s="409" t="s">
        <v>904</v>
      </c>
      <c r="B469" s="410">
        <f>E454</f>
        <v>0</v>
      </c>
      <c r="C469" s="543" t="s">
        <v>761</v>
      </c>
      <c r="D469" s="478"/>
      <c r="E469" s="414"/>
      <c r="F469" s="304"/>
    </row>
    <row r="470" spans="1:6" x14ac:dyDescent="0.35">
      <c r="A470" s="304"/>
      <c r="B470" s="304"/>
      <c r="C470" s="543"/>
      <c r="D470" s="478"/>
      <c r="E470" s="414"/>
      <c r="F470" s="304"/>
    </row>
    <row r="471" spans="1:6" ht="18.5" x14ac:dyDescent="0.45">
      <c r="A471" s="317" t="s">
        <v>762</v>
      </c>
      <c r="B471" s="304"/>
      <c r="C471" s="543"/>
      <c r="D471" s="478"/>
      <c r="E471" s="414"/>
      <c r="F471" s="304"/>
    </row>
    <row r="472" spans="1:6" x14ac:dyDescent="0.35">
      <c r="A472" s="304" t="s">
        <v>752</v>
      </c>
      <c r="B472" s="304"/>
      <c r="C472" s="543"/>
      <c r="D472" s="478"/>
      <c r="E472" s="414"/>
      <c r="F472" s="304"/>
    </row>
    <row r="473" spans="1:6" ht="18.5" x14ac:dyDescent="0.45">
      <c r="A473" s="317"/>
      <c r="B473" s="304"/>
      <c r="C473" s="543"/>
      <c r="D473" s="402" t="s">
        <v>251</v>
      </c>
      <c r="E473" s="403" t="s">
        <v>252</v>
      </c>
      <c r="F473" s="402" t="s">
        <v>253</v>
      </c>
    </row>
    <row r="474" spans="1:6" ht="18.5" x14ac:dyDescent="0.45">
      <c r="A474" s="317"/>
      <c r="B474" s="304"/>
      <c r="C474" s="543"/>
      <c r="D474" s="479" t="s">
        <v>742</v>
      </c>
      <c r="E474" s="404"/>
      <c r="F474" s="407" t="s">
        <v>743</v>
      </c>
    </row>
    <row r="475" spans="1:6" ht="18.5" x14ac:dyDescent="0.45">
      <c r="A475" s="317"/>
      <c r="B475" s="304"/>
      <c r="C475" s="543"/>
      <c r="D475" s="479" t="s">
        <v>744</v>
      </c>
      <c r="E475" s="404"/>
      <c r="F475" s="407" t="s">
        <v>745</v>
      </c>
    </row>
    <row r="476" spans="1:6" ht="18.5" x14ac:dyDescent="0.45">
      <c r="A476" s="317"/>
      <c r="B476" s="304"/>
      <c r="C476" s="543"/>
      <c r="D476" s="479" t="s">
        <v>747</v>
      </c>
      <c r="E476" s="405"/>
      <c r="F476" s="407" t="s">
        <v>748</v>
      </c>
    </row>
    <row r="477" spans="1:6" ht="18.5" x14ac:dyDescent="0.45">
      <c r="A477" s="317"/>
      <c r="B477" s="304"/>
      <c r="C477" s="543"/>
      <c r="D477" s="479" t="s">
        <v>763</v>
      </c>
      <c r="E477" s="405">
        <v>27.8</v>
      </c>
      <c r="F477" s="406" t="s">
        <v>751</v>
      </c>
    </row>
    <row r="478" spans="1:6" ht="18.5" x14ac:dyDescent="0.45">
      <c r="A478" s="317"/>
      <c r="B478" s="304"/>
      <c r="C478" s="543"/>
      <c r="D478" s="479" t="s">
        <v>764</v>
      </c>
      <c r="E478" s="405">
        <v>3.2</v>
      </c>
      <c r="F478" s="406" t="s">
        <v>751</v>
      </c>
    </row>
    <row r="479" spans="1:6" ht="18.5" x14ac:dyDescent="0.45">
      <c r="A479" s="317"/>
      <c r="B479" s="304"/>
      <c r="C479" s="543"/>
      <c r="D479" s="479" t="s">
        <v>765</v>
      </c>
      <c r="E479" s="405">
        <v>0</v>
      </c>
      <c r="F479" s="406" t="s">
        <v>751</v>
      </c>
    </row>
    <row r="480" spans="1:6" ht="18.5" x14ac:dyDescent="0.45">
      <c r="A480" s="317"/>
      <c r="B480" s="304"/>
      <c r="C480" s="543"/>
      <c r="D480" s="481" t="s">
        <v>755</v>
      </c>
      <c r="E480" s="415">
        <v>1E-3</v>
      </c>
      <c r="F480" s="408"/>
    </row>
    <row r="481" spans="1:6" ht="29" x14ac:dyDescent="0.45">
      <c r="A481" s="317"/>
      <c r="B481" s="304"/>
      <c r="C481" s="543" t="s">
        <v>689</v>
      </c>
      <c r="D481" s="480" t="s">
        <v>766</v>
      </c>
      <c r="E481" s="405">
        <f>E474*E477*E480</f>
        <v>0</v>
      </c>
      <c r="F481" s="406" t="s">
        <v>757</v>
      </c>
    </row>
    <row r="482" spans="1:6" ht="29" x14ac:dyDescent="0.45">
      <c r="A482" s="317"/>
      <c r="B482" s="304"/>
      <c r="C482" s="543"/>
      <c r="D482" s="480" t="s">
        <v>767</v>
      </c>
      <c r="E482" s="405">
        <f>E475*E478*E480</f>
        <v>0</v>
      </c>
      <c r="F482" s="406" t="s">
        <v>757</v>
      </c>
    </row>
    <row r="483" spans="1:6" ht="29" x14ac:dyDescent="0.45">
      <c r="A483" s="317"/>
      <c r="B483" s="304"/>
      <c r="C483" s="543"/>
      <c r="D483" s="480" t="s">
        <v>768</v>
      </c>
      <c r="E483" s="405">
        <f>E476*E479*E480</f>
        <v>0</v>
      </c>
      <c r="F483" s="406" t="s">
        <v>757</v>
      </c>
    </row>
    <row r="484" spans="1:6" x14ac:dyDescent="0.35">
      <c r="A484" s="410" t="s">
        <v>769</v>
      </c>
      <c r="B484" s="304"/>
      <c r="C484" s="543"/>
      <c r="D484" s="478"/>
      <c r="E484" s="414"/>
      <c r="F484" s="304"/>
    </row>
    <row r="485" spans="1:6" x14ac:dyDescent="0.35">
      <c r="A485" s="409" t="s">
        <v>905</v>
      </c>
      <c r="B485" s="410">
        <f>E481</f>
        <v>0</v>
      </c>
      <c r="C485" s="543" t="s">
        <v>761</v>
      </c>
      <c r="D485" s="478"/>
      <c r="E485" s="414"/>
      <c r="F485" s="304"/>
    </row>
    <row r="486" spans="1:6" x14ac:dyDescent="0.35">
      <c r="A486" s="304"/>
      <c r="B486" s="304"/>
      <c r="C486" s="543"/>
      <c r="D486" s="478"/>
      <c r="E486" s="414"/>
      <c r="F486" s="304"/>
    </row>
    <row r="487" spans="1:6" ht="18.5" x14ac:dyDescent="0.45">
      <c r="A487" s="317"/>
      <c r="B487" s="304"/>
      <c r="C487" s="543"/>
      <c r="D487" s="478"/>
      <c r="E487" s="414"/>
      <c r="F487" s="304"/>
    </row>
    <row r="488" spans="1:6" x14ac:dyDescent="0.35">
      <c r="A488" s="409" t="s">
        <v>906</v>
      </c>
      <c r="B488" s="410">
        <f>E482</f>
        <v>0</v>
      </c>
      <c r="C488" s="543" t="s">
        <v>761</v>
      </c>
      <c r="D488" s="478"/>
      <c r="E488" s="414"/>
      <c r="F488" s="304"/>
    </row>
    <row r="489" spans="1:6" x14ac:dyDescent="0.35">
      <c r="A489" s="304"/>
      <c r="B489" s="304"/>
      <c r="C489" s="543"/>
      <c r="D489" s="478"/>
      <c r="E489" s="414"/>
      <c r="F489" s="304"/>
    </row>
    <row r="490" spans="1:6" x14ac:dyDescent="0.35">
      <c r="A490" s="304"/>
      <c r="B490" s="304"/>
      <c r="C490" s="543"/>
      <c r="D490" s="478"/>
      <c r="E490" s="414"/>
      <c r="F490" s="304"/>
    </row>
    <row r="491" spans="1:6" x14ac:dyDescent="0.35">
      <c r="A491" s="304"/>
      <c r="B491" s="304"/>
      <c r="C491" s="543"/>
      <c r="D491" s="478"/>
      <c r="E491" s="414"/>
      <c r="F491" s="304"/>
    </row>
    <row r="492" spans="1:6" x14ac:dyDescent="0.35">
      <c r="A492" s="304"/>
      <c r="B492" s="304"/>
      <c r="C492" s="543"/>
      <c r="D492" s="478"/>
      <c r="E492" s="414"/>
      <c r="F492" s="304"/>
    </row>
    <row r="493" spans="1:6" x14ac:dyDescent="0.35">
      <c r="A493" s="304"/>
      <c r="B493" s="304"/>
      <c r="C493" s="543"/>
      <c r="D493" s="402" t="s">
        <v>251</v>
      </c>
      <c r="E493" s="403" t="s">
        <v>252</v>
      </c>
      <c r="F493" s="402" t="s">
        <v>253</v>
      </c>
    </row>
    <row r="494" spans="1:6" x14ac:dyDescent="0.35">
      <c r="A494" s="304"/>
      <c r="B494" s="304"/>
      <c r="C494" s="543"/>
      <c r="D494" s="479" t="s">
        <v>742</v>
      </c>
      <c r="E494" s="404"/>
      <c r="F494" s="407" t="s">
        <v>743</v>
      </c>
    </row>
    <row r="495" spans="1:6" x14ac:dyDescent="0.35">
      <c r="A495" s="304"/>
      <c r="B495" s="304"/>
      <c r="C495" s="543"/>
      <c r="D495" s="479" t="s">
        <v>744</v>
      </c>
      <c r="E495" s="404"/>
      <c r="F495" s="407" t="s">
        <v>745</v>
      </c>
    </row>
    <row r="496" spans="1:6" x14ac:dyDescent="0.35">
      <c r="A496" s="304"/>
      <c r="B496" s="304"/>
      <c r="C496" s="543"/>
      <c r="D496" s="479" t="s">
        <v>747</v>
      </c>
      <c r="E496" s="405"/>
      <c r="F496" s="407" t="s">
        <v>748</v>
      </c>
    </row>
    <row r="497" spans="1:6" x14ac:dyDescent="0.35">
      <c r="A497" s="304"/>
      <c r="B497" s="304"/>
      <c r="C497" s="543"/>
      <c r="D497" s="524"/>
      <c r="E497" s="525"/>
      <c r="F497" s="526"/>
    </row>
    <row r="498" spans="1:6" x14ac:dyDescent="0.35">
      <c r="A498" s="304"/>
      <c r="B498" s="304"/>
      <c r="C498" s="543"/>
      <c r="D498" s="480" t="s">
        <v>755</v>
      </c>
      <c r="E498" s="405">
        <v>1E-3</v>
      </c>
      <c r="F498" s="406"/>
    </row>
    <row r="499" spans="1:6" x14ac:dyDescent="0.35">
      <c r="A499" s="304"/>
      <c r="B499" s="304"/>
      <c r="C499" s="543"/>
      <c r="D499" s="479" t="s">
        <v>770</v>
      </c>
      <c r="E499" s="405">
        <v>122</v>
      </c>
      <c r="F499" s="406" t="s">
        <v>771</v>
      </c>
    </row>
    <row r="500" spans="1:6" x14ac:dyDescent="0.35">
      <c r="A500" s="304"/>
      <c r="B500" s="304"/>
      <c r="C500" s="543"/>
      <c r="D500" s="479" t="s">
        <v>772</v>
      </c>
      <c r="E500" s="405">
        <v>74</v>
      </c>
      <c r="F500" s="406" t="s">
        <v>771</v>
      </c>
    </row>
    <row r="501" spans="1:6" x14ac:dyDescent="0.35">
      <c r="A501" s="304"/>
      <c r="B501" s="304"/>
      <c r="C501" s="543"/>
      <c r="D501" s="479" t="s">
        <v>773</v>
      </c>
      <c r="E501" s="405">
        <v>4.0999999999999996</v>
      </c>
      <c r="F501" s="406" t="s">
        <v>771</v>
      </c>
    </row>
    <row r="502" spans="1:6" ht="29" x14ac:dyDescent="0.35">
      <c r="A502" s="304"/>
      <c r="B502" s="304"/>
      <c r="C502" s="543"/>
      <c r="D502" s="480" t="s">
        <v>774</v>
      </c>
      <c r="E502" s="405">
        <f>E494*E499*E505*E498</f>
        <v>0</v>
      </c>
      <c r="F502" s="406" t="s">
        <v>775</v>
      </c>
    </row>
    <row r="503" spans="1:6" ht="29" x14ac:dyDescent="0.35">
      <c r="A503" s="304"/>
      <c r="B503" s="304"/>
      <c r="C503" s="543"/>
      <c r="D503" s="480" t="s">
        <v>776</v>
      </c>
      <c r="E503" s="405">
        <f>E495*E500*E505*E498</f>
        <v>0</v>
      </c>
      <c r="F503" s="406" t="s">
        <v>775</v>
      </c>
    </row>
    <row r="504" spans="1:6" ht="29" x14ac:dyDescent="0.35">
      <c r="A504" s="304"/>
      <c r="B504" s="304"/>
      <c r="C504" s="543"/>
      <c r="D504" s="480" t="s">
        <v>777</v>
      </c>
      <c r="E504" s="405">
        <f>E496*E501*E506*E498</f>
        <v>0</v>
      </c>
      <c r="F504" s="406" t="s">
        <v>775</v>
      </c>
    </row>
    <row r="505" spans="1:6" ht="29" x14ac:dyDescent="0.35">
      <c r="A505" s="304"/>
      <c r="B505" s="304" t="s">
        <v>689</v>
      </c>
      <c r="C505" s="543"/>
      <c r="D505" s="480" t="s">
        <v>778</v>
      </c>
      <c r="E505" s="405">
        <v>1E-3</v>
      </c>
      <c r="F505" s="523" t="s">
        <v>779</v>
      </c>
    </row>
    <row r="506" spans="1:6" ht="29" x14ac:dyDescent="0.35">
      <c r="A506" s="304"/>
      <c r="B506" s="304"/>
      <c r="C506" s="543"/>
      <c r="D506" s="480" t="s">
        <v>780</v>
      </c>
      <c r="E506" s="405">
        <v>0.02</v>
      </c>
      <c r="F506" s="523" t="s">
        <v>779</v>
      </c>
    </row>
    <row r="507" spans="1:6" x14ac:dyDescent="0.35">
      <c r="A507" s="412" t="s">
        <v>907</v>
      </c>
      <c r="B507" s="410">
        <f>E502</f>
        <v>0</v>
      </c>
      <c r="C507" s="543" t="s">
        <v>761</v>
      </c>
      <c r="D507" s="478"/>
      <c r="E507" s="414"/>
      <c r="F507" s="304"/>
    </row>
    <row r="508" spans="1:6" x14ac:dyDescent="0.35">
      <c r="A508" s="409"/>
      <c r="B508" s="410"/>
      <c r="C508" s="543"/>
      <c r="D508" s="478"/>
      <c r="E508" s="414"/>
      <c r="F508" s="304"/>
    </row>
    <row r="509" spans="1:6" x14ac:dyDescent="0.35">
      <c r="A509" s="304"/>
      <c r="B509" s="410"/>
      <c r="C509" s="543"/>
      <c r="D509" s="478"/>
      <c r="E509" s="414"/>
      <c r="F509" s="304"/>
    </row>
    <row r="510" spans="1:6" x14ac:dyDescent="0.35">
      <c r="A510" s="304"/>
      <c r="B510" s="410"/>
      <c r="C510" s="543"/>
      <c r="D510" s="478"/>
      <c r="E510" s="414"/>
      <c r="F510" s="304"/>
    </row>
    <row r="511" spans="1:6" x14ac:dyDescent="0.35">
      <c r="A511" s="409" t="s">
        <v>908</v>
      </c>
      <c r="B511" s="410">
        <f>E503</f>
        <v>0</v>
      </c>
      <c r="C511" s="543" t="s">
        <v>761</v>
      </c>
      <c r="D511" s="478"/>
      <c r="E511" s="414"/>
      <c r="F511" s="304"/>
    </row>
    <row r="512" spans="1:6" x14ac:dyDescent="0.35">
      <c r="A512" s="409"/>
      <c r="B512" s="410"/>
      <c r="C512" s="543"/>
      <c r="D512" s="478"/>
      <c r="E512" s="414"/>
      <c r="F512" s="304"/>
    </row>
    <row r="513" spans="1:6" x14ac:dyDescent="0.35">
      <c r="A513" s="304"/>
      <c r="B513" s="410"/>
      <c r="C513" s="543"/>
      <c r="D513" s="478"/>
      <c r="E513" s="414"/>
      <c r="F513" s="304"/>
    </row>
    <row r="514" spans="1:6" x14ac:dyDescent="0.35">
      <c r="A514" s="409" t="s">
        <v>909</v>
      </c>
      <c r="B514" s="410">
        <f>E504</f>
        <v>0</v>
      </c>
      <c r="C514" s="543" t="s">
        <v>761</v>
      </c>
      <c r="D514" s="478"/>
      <c r="E514" s="414"/>
      <c r="F514" s="304"/>
    </row>
    <row r="515" spans="1:6" x14ac:dyDescent="0.35">
      <c r="A515" s="304"/>
      <c r="B515" s="304"/>
      <c r="C515" s="543"/>
      <c r="D515" s="478"/>
      <c r="E515" s="414"/>
      <c r="F515" s="304"/>
    </row>
    <row r="516" spans="1:6" x14ac:dyDescent="0.35">
      <c r="A516" s="304"/>
      <c r="B516" s="304"/>
      <c r="C516" s="543"/>
      <c r="D516" s="478"/>
      <c r="E516" s="414"/>
      <c r="F516" s="304"/>
    </row>
    <row r="517" spans="1:6" x14ac:dyDescent="0.35">
      <c r="A517" s="304"/>
      <c r="B517" s="304"/>
      <c r="C517" s="543"/>
      <c r="D517" s="478"/>
      <c r="E517" s="414"/>
      <c r="F517" s="304"/>
    </row>
    <row r="518" spans="1:6" x14ac:dyDescent="0.35">
      <c r="A518" s="304"/>
      <c r="B518" s="304"/>
      <c r="C518" s="543"/>
      <c r="D518" s="478"/>
      <c r="E518" s="414"/>
      <c r="F518" s="304"/>
    </row>
    <row r="519" spans="1:6" x14ac:dyDescent="0.35">
      <c r="A519" s="304"/>
      <c r="B519" s="304"/>
      <c r="C519" s="543"/>
      <c r="D519" s="478"/>
      <c r="E519" s="414"/>
      <c r="F519" s="304"/>
    </row>
    <row r="520" spans="1:6" x14ac:dyDescent="0.35">
      <c r="A520" s="304"/>
      <c r="B520" s="304"/>
      <c r="C520" s="543"/>
      <c r="D520" s="478"/>
      <c r="E520" s="414"/>
      <c r="F520" s="304"/>
    </row>
    <row r="521" spans="1:6" x14ac:dyDescent="0.35">
      <c r="A521" s="304"/>
      <c r="B521" s="304"/>
      <c r="C521" s="543"/>
      <c r="D521" s="478"/>
      <c r="E521" s="414"/>
      <c r="F521" s="304"/>
    </row>
    <row r="522" spans="1:6" x14ac:dyDescent="0.35">
      <c r="A522" s="304"/>
      <c r="B522" s="304"/>
      <c r="C522" s="543"/>
      <c r="D522" s="478"/>
      <c r="E522" s="414"/>
      <c r="F522" s="304"/>
    </row>
    <row r="523" spans="1:6" x14ac:dyDescent="0.35">
      <c r="A523" s="304"/>
      <c r="B523" s="304"/>
      <c r="C523" s="543"/>
      <c r="D523" s="478"/>
      <c r="E523" s="414"/>
      <c r="F523" s="304"/>
    </row>
    <row r="524" spans="1:6" x14ac:dyDescent="0.35">
      <c r="A524" s="304"/>
      <c r="B524" s="304"/>
      <c r="C524" s="543"/>
      <c r="D524" s="478"/>
      <c r="E524" s="414"/>
      <c r="F524" s="304"/>
    </row>
    <row r="525" spans="1:6" x14ac:dyDescent="0.35">
      <c r="A525" s="304"/>
      <c r="B525" s="304" t="s">
        <v>781</v>
      </c>
      <c r="C525" s="543"/>
      <c r="D525" s="478"/>
      <c r="E525" s="414"/>
      <c r="F525" s="304"/>
    </row>
    <row r="526" spans="1:6" x14ac:dyDescent="0.35">
      <c r="A526" s="304"/>
      <c r="B526" s="304"/>
      <c r="C526" s="543"/>
      <c r="D526" s="478"/>
      <c r="E526" s="414"/>
      <c r="F526" s="304"/>
    </row>
    <row r="527" spans="1:6" x14ac:dyDescent="0.35">
      <c r="A527" s="304"/>
      <c r="B527" s="304"/>
      <c r="C527" s="543"/>
      <c r="D527" s="478"/>
      <c r="E527" s="414"/>
      <c r="F527" s="304"/>
    </row>
    <row r="528" spans="1:6" x14ac:dyDescent="0.35">
      <c r="A528" s="304"/>
      <c r="B528" s="304"/>
      <c r="C528" s="543"/>
      <c r="D528" s="478"/>
      <c r="E528" s="414"/>
      <c r="F528" s="304"/>
    </row>
    <row r="529" spans="1:6" x14ac:dyDescent="0.35">
      <c r="A529" s="304"/>
      <c r="B529" s="304"/>
      <c r="C529" s="543"/>
      <c r="D529" s="478"/>
      <c r="E529" s="414"/>
      <c r="F529" s="304"/>
    </row>
    <row r="530" spans="1:6" x14ac:dyDescent="0.35">
      <c r="A530" s="304"/>
      <c r="B530" s="304"/>
      <c r="C530" s="543"/>
      <c r="D530" s="478"/>
      <c r="E530" s="414"/>
      <c r="F530" s="304"/>
    </row>
    <row r="531" spans="1:6" x14ac:dyDescent="0.35">
      <c r="A531" s="304"/>
      <c r="B531" s="304"/>
      <c r="C531" s="543"/>
      <c r="D531" s="478"/>
      <c r="E531" s="414"/>
      <c r="F531" s="304"/>
    </row>
    <row r="532" spans="1:6" x14ac:dyDescent="0.35">
      <c r="A532" s="304"/>
      <c r="B532" s="304"/>
      <c r="C532" s="543"/>
      <c r="D532" s="478"/>
      <c r="E532" s="414"/>
      <c r="F532" s="304"/>
    </row>
    <row r="533" spans="1:6" x14ac:dyDescent="0.35">
      <c r="A533" s="304"/>
      <c r="B533" s="304"/>
      <c r="C533" s="543"/>
      <c r="D533" s="478"/>
      <c r="E533" s="414"/>
      <c r="F533" s="304"/>
    </row>
    <row r="534" spans="1:6" x14ac:dyDescent="0.35">
      <c r="A534" s="304"/>
      <c r="B534" s="304"/>
      <c r="C534" s="543"/>
      <c r="D534" s="478"/>
      <c r="E534" s="414"/>
      <c r="F534" s="304"/>
    </row>
    <row r="535" spans="1:6" ht="18.5" x14ac:dyDescent="0.45">
      <c r="A535" s="317" t="s">
        <v>627</v>
      </c>
      <c r="B535" s="304"/>
      <c r="C535" s="543"/>
      <c r="D535" s="478"/>
      <c r="E535" s="414"/>
      <c r="F535" s="304"/>
    </row>
    <row r="536" spans="1:6" ht="43.5" x14ac:dyDescent="0.35">
      <c r="A536" s="318" t="s">
        <v>782</v>
      </c>
      <c r="B536" s="304"/>
      <c r="C536" s="543"/>
      <c r="D536" s="478"/>
      <c r="E536" s="414"/>
      <c r="F536" s="304"/>
    </row>
    <row r="537" spans="1:6" ht="58" x14ac:dyDescent="0.35">
      <c r="A537" s="318" t="s">
        <v>783</v>
      </c>
      <c r="B537" s="304"/>
      <c r="C537" s="543"/>
      <c r="D537" s="478"/>
      <c r="E537" s="414"/>
      <c r="F537" s="304"/>
    </row>
    <row r="538" spans="1:6" ht="58" x14ac:dyDescent="0.35">
      <c r="A538" s="318" t="s">
        <v>784</v>
      </c>
      <c r="B538" s="304"/>
      <c r="C538" s="543"/>
      <c r="D538" s="478"/>
      <c r="E538" s="414"/>
      <c r="F538" s="304"/>
    </row>
    <row r="539" spans="1:6" x14ac:dyDescent="0.35">
      <c r="A539" s="304"/>
      <c r="B539" s="304"/>
      <c r="C539" s="543"/>
      <c r="D539" s="478"/>
      <c r="E539" s="414"/>
      <c r="F539" s="304"/>
    </row>
    <row r="540" spans="1:6" x14ac:dyDescent="0.35">
      <c r="A540" s="304"/>
      <c r="B540" s="304"/>
      <c r="C540" s="543"/>
      <c r="D540" s="478"/>
      <c r="E540" s="414"/>
      <c r="F540" s="304"/>
    </row>
  </sheetData>
  <mergeCells count="27">
    <mergeCell ref="A139:A140"/>
    <mergeCell ref="C277:E277"/>
    <mergeCell ref="C278:E278"/>
    <mergeCell ref="A102:E102"/>
    <mergeCell ref="A77:E77"/>
    <mergeCell ref="A1:E1"/>
    <mergeCell ref="A29:E29"/>
    <mergeCell ref="A28:E28"/>
    <mergeCell ref="B30:E30"/>
    <mergeCell ref="B37:D37"/>
    <mergeCell ref="A44:A49"/>
    <mergeCell ref="A51:E55"/>
    <mergeCell ref="A57:E60"/>
    <mergeCell ref="A198:A199"/>
    <mergeCell ref="A200:A206"/>
    <mergeCell ref="A246:E246"/>
    <mergeCell ref="A250:E254"/>
    <mergeCell ref="A103:E104"/>
    <mergeCell ref="A111:A113"/>
    <mergeCell ref="A109:A110"/>
    <mergeCell ref="A114:A116"/>
    <mergeCell ref="A117:E120"/>
    <mergeCell ref="B107:E107"/>
    <mergeCell ref="B115:D115"/>
    <mergeCell ref="A105:E105"/>
    <mergeCell ref="A106:E106"/>
    <mergeCell ref="D109:D110"/>
  </mergeCells>
  <phoneticPr fontId="19" type="noConversion"/>
  <hyperlinks>
    <hyperlink ref="A78" r:id="rId1" xr:uid="{7D8BD4DC-EDA6-4F8E-8448-1325954DF290}"/>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aires xmlns="8c8e3512-d03d-4cb4-895c-e46ae126b4bd" xsi:nil="true"/>
    <lcf76f155ced4ddcb4097134ff3c332f xmlns="8c8e3512-d03d-4cb4-895c-e46ae126b4bd">
      <Terms xmlns="http://schemas.microsoft.com/office/infopath/2007/PartnerControls"/>
    </lcf76f155ced4ddcb4097134ff3c332f>
    <SharedWithUsers xmlns="9b565444-4557-490b-85e5-c24d77a4073e">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210E031064604B88B2D5B6DEB150EF" ma:contentTypeVersion="11" ma:contentTypeDescription="Crée un document." ma:contentTypeScope="" ma:versionID="9ce8aaf83b5cb567bf13f45c05dd78b7">
  <xsd:schema xmlns:xsd="http://www.w3.org/2001/XMLSchema" xmlns:xs="http://www.w3.org/2001/XMLSchema" xmlns:p="http://schemas.microsoft.com/office/2006/metadata/properties" xmlns:ns2="8c8e3512-d03d-4cb4-895c-e46ae126b4bd" xmlns:ns3="9b565444-4557-490b-85e5-c24d77a4073e" targetNamespace="http://schemas.microsoft.com/office/2006/metadata/properties" ma:root="true" ma:fieldsID="9e97fa39eaa42007dc7c511973e8946d" ns2:_="" ns3:_="">
    <xsd:import namespace="8c8e3512-d03d-4cb4-895c-e46ae126b4bd"/>
    <xsd:import namespace="9b565444-4557-490b-85e5-c24d77a4073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Commentaires"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8e3512-d03d-4cb4-895c-e46ae126b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Commentaires" ma:index="11" nillable="true" ma:displayName="Commentaires" ma:format="Dropdown" ma:internalName="Commentaires">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d264a842-8adc-43f3-ad4e-91e5e271ce1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565444-4557-490b-85e5-c24d77a4073e"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36BC85-0B81-4E75-95EB-539B7FE7C8AC}">
  <ds:schemaRefs>
    <ds:schemaRef ds:uri="http://schemas.microsoft.com/office/2006/metadata/properties"/>
    <ds:schemaRef ds:uri="http://schemas.microsoft.com/office/infopath/2007/PartnerControls"/>
    <ds:schemaRef ds:uri="8c8e3512-d03d-4cb4-895c-e46ae126b4bd"/>
    <ds:schemaRef ds:uri="9b565444-4557-490b-85e5-c24d77a4073e"/>
  </ds:schemaRefs>
</ds:datastoreItem>
</file>

<file path=customXml/itemProps2.xml><?xml version="1.0" encoding="utf-8"?>
<ds:datastoreItem xmlns:ds="http://schemas.openxmlformats.org/officeDocument/2006/customXml" ds:itemID="{441091BB-3FC2-45CE-ADA9-FCB978C14645}">
  <ds:schemaRefs>
    <ds:schemaRef ds:uri="http://schemas.microsoft.com/sharepoint/v3/contenttype/forms"/>
  </ds:schemaRefs>
</ds:datastoreItem>
</file>

<file path=customXml/itemProps3.xml><?xml version="1.0" encoding="utf-8"?>
<ds:datastoreItem xmlns:ds="http://schemas.openxmlformats.org/officeDocument/2006/customXml" ds:itemID="{16F7AE43-497F-4CE9-B2FD-8138F175A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8e3512-d03d-4cb4-895c-e46ae126b4bd"/>
    <ds:schemaRef ds:uri="9b565444-4557-490b-85e5-c24d77a407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Introduction</vt:lpstr>
      <vt:lpstr>Sommaire</vt:lpstr>
      <vt:lpstr>Graphiques </vt:lpstr>
      <vt:lpstr> Scope 1</vt:lpstr>
      <vt:lpstr>Scope 2</vt:lpstr>
      <vt:lpstr>Scope 3</vt:lpstr>
      <vt:lpstr>PRG</vt:lpstr>
      <vt:lpstr>FE</vt:lpstr>
      <vt:lpstr>Estimations_collectivité</vt:lpstr>
      <vt:lpstr>Données</vt:lpstr>
      <vt:lpstr>FE!Zone_d_impression</vt:lpstr>
      <vt:lpstr>Introduction!Zone_d_impression</vt:lpstr>
      <vt:lpstr>Sommaire!Zone_d_impression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2022-09-28T16:59:24Z</dcterms:created>
  <dcterms:modified xsi:type="dcterms:W3CDTF">2023-12-21T01:57:38Z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0x01010091210E031064604B88B2D5B6DEB150EF</vt:lpwstr>
  </property>
  <property fmtid="{D5CDD505-2E9C-101B-9397-08002B2CF9AE}" pid="3" name="MediaServiceImageTags">
    <vt:lpwstr/>
  </property>
  <property fmtid="{D5CDD505-2E9C-101B-9397-08002B2CF9AE}" pid="4" name="Order">
    <vt:r8>6100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